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1. GESTIÓN GERENCIAL/6. FORMATOS/MAPA DE PROCESOS/"/>
    </mc:Choice>
  </mc:AlternateContent>
  <xr:revisionPtr revIDLastSave="6" documentId="8_{FE9CA0A2-EB29-4FF4-AECC-993B4BB22070}" xr6:coauthVersionLast="47" xr6:coauthVersionMax="47" xr10:uidLastSave="{F978EFE8-4BE9-4B7B-8735-AE8DA71293B2}"/>
  <workbookProtection workbookAlgorithmName="SHA-512" workbookHashValue="aiL5mEw8NCCLXyfbu1wJAJ81NfsvbjshNq/JhWL6OfLR9oiuwj6mtBKO3BV+pCp/Jux+dPN4q8pRsu66pOdLrA==" workbookSaltValue="maU7Upm6vYn7RONCrr6SWA==" workbookSpinCount="100000" lockStructure="1"/>
  <bookViews>
    <workbookView xWindow="-108" yWindow="-108" windowWidth="23256" windowHeight="13896" tabRatio="522" xr2:uid="{00000000-000D-0000-FFFF-FFFF00000000}"/>
  </bookViews>
  <sheets>
    <sheet name="Matriz Riesgo" sheetId="3" r:id="rId1"/>
    <sheet name="Calificación Controles" sheetId="8" r:id="rId2"/>
    <sheet name="Matriz Inherente - Residual" sheetId="5" r:id="rId3"/>
    <sheet name="Entradas" sheetId="4" r:id="rId4"/>
  </sheets>
  <externalReferences>
    <externalReference r:id="rId5"/>
  </externalReferences>
  <definedNames>
    <definedName name="_xlnm._FilterDatabase" localSheetId="0" hidden="1">'Matriz Riesgo'!$A$5:$AK$28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3" i="3" l="1"/>
  <c r="AJ3" i="3"/>
  <c r="B4" i="3"/>
  <c r="H6" i="3"/>
  <c r="K6" i="3"/>
  <c r="AB6" i="3" s="1"/>
  <c r="R6" i="3"/>
  <c r="U6" i="3" s="1"/>
  <c r="S6" i="3"/>
  <c r="X6" i="3"/>
  <c r="AC6" i="3"/>
  <c r="M6" i="3" l="1"/>
  <c r="AD6" i="3"/>
  <c r="AE6" i="3" s="1"/>
  <c r="W6" i="3"/>
  <c r="Y6" i="3" s="1"/>
  <c r="Z6" i="3" s="1"/>
  <c r="AG6" i="3" l="1"/>
  <c r="AG44" i="3" l="1"/>
  <c r="AG45" i="3"/>
  <c r="AG46" i="3"/>
  <c r="AG47" i="3"/>
  <c r="AG48" i="3"/>
  <c r="AG49" i="3"/>
  <c r="AG50" i="3"/>
  <c r="AG51" i="3"/>
  <c r="W26" i="8"/>
  <c r="R26" i="8"/>
  <c r="O26" i="8"/>
  <c r="L26" i="8"/>
  <c r="H26" i="8"/>
  <c r="D26" i="8"/>
  <c r="AA9" i="8"/>
  <c r="AA10" i="8"/>
  <c r="AA11" i="8"/>
  <c r="AA12" i="8"/>
  <c r="AA13" i="8"/>
  <c r="AA14" i="8"/>
  <c r="AA15" i="8"/>
  <c r="AA16" i="8"/>
  <c r="AA17" i="8"/>
  <c r="AA18" i="8"/>
  <c r="AA19" i="8"/>
  <c r="AA20" i="8"/>
  <c r="AA21" i="8"/>
  <c r="AA22" i="8"/>
  <c r="AA23" i="8"/>
  <c r="AA24" i="8"/>
  <c r="AA25" i="8"/>
  <c r="AA26" i="8"/>
  <c r="AA27" i="8"/>
  <c r="AA28" i="8"/>
  <c r="AA29" i="8"/>
  <c r="AA30" i="8"/>
  <c r="AA31" i="8"/>
  <c r="AA32" i="8"/>
  <c r="AA33" i="8"/>
  <c r="AA34" i="8"/>
  <c r="AA35" i="8"/>
  <c r="AA36" i="8"/>
  <c r="AA37" i="8"/>
  <c r="W9" i="8"/>
  <c r="W10" i="8"/>
  <c r="W11" i="8"/>
  <c r="W12" i="8"/>
  <c r="W13" i="8"/>
  <c r="W14" i="8"/>
  <c r="W15" i="8"/>
  <c r="W16" i="8"/>
  <c r="W17" i="8"/>
  <c r="W18" i="8"/>
  <c r="W19" i="8"/>
  <c r="W20" i="8"/>
  <c r="W21" i="8"/>
  <c r="W22" i="8"/>
  <c r="W23" i="8"/>
  <c r="W24" i="8"/>
  <c r="W25" i="8"/>
  <c r="W27" i="8"/>
  <c r="W28" i="8"/>
  <c r="W29" i="8"/>
  <c r="W30" i="8"/>
  <c r="W31" i="8"/>
  <c r="W32" i="8"/>
  <c r="W33" i="8"/>
  <c r="W34" i="8"/>
  <c r="W35" i="8"/>
  <c r="W36" i="8"/>
  <c r="W37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7" i="8"/>
  <c r="R28" i="8"/>
  <c r="R29" i="8"/>
  <c r="R30" i="8"/>
  <c r="R31" i="8"/>
  <c r="R32" i="8"/>
  <c r="R33" i="8"/>
  <c r="R34" i="8"/>
  <c r="R35" i="8"/>
  <c r="R36" i="8"/>
  <c r="R37" i="8"/>
  <c r="O9" i="8"/>
  <c r="O10" i="8"/>
  <c r="O11" i="8"/>
  <c r="O12" i="8"/>
  <c r="O13" i="8"/>
  <c r="O14" i="8"/>
  <c r="O15" i="8"/>
  <c r="O16" i="8"/>
  <c r="O17" i="8"/>
  <c r="O18" i="8"/>
  <c r="O19" i="8"/>
  <c r="O20" i="8"/>
  <c r="O21" i="8"/>
  <c r="O22" i="8"/>
  <c r="O23" i="8"/>
  <c r="O24" i="8"/>
  <c r="O25" i="8"/>
  <c r="O27" i="8"/>
  <c r="O28" i="8"/>
  <c r="O29" i="8"/>
  <c r="O30" i="8"/>
  <c r="O31" i="8"/>
  <c r="O32" i="8"/>
  <c r="O33" i="8"/>
  <c r="O34" i="8"/>
  <c r="O35" i="8"/>
  <c r="O36" i="8"/>
  <c r="O37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7" i="8"/>
  <c r="L28" i="8"/>
  <c r="L29" i="8"/>
  <c r="L30" i="8"/>
  <c r="L31" i="8"/>
  <c r="L32" i="8"/>
  <c r="L33" i="8"/>
  <c r="L34" i="8"/>
  <c r="L35" i="8"/>
  <c r="L36" i="8"/>
  <c r="L37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7" i="8"/>
  <c r="H28" i="8"/>
  <c r="H29" i="8"/>
  <c r="H30" i="8"/>
  <c r="H31" i="8"/>
  <c r="H32" i="8"/>
  <c r="H33" i="8"/>
  <c r="H34" i="8"/>
  <c r="H35" i="8"/>
  <c r="H36" i="8"/>
  <c r="H37" i="8"/>
  <c r="AA8" i="8"/>
  <c r="W8" i="8"/>
  <c r="R8" i="8"/>
  <c r="O8" i="8"/>
  <c r="L8" i="8"/>
  <c r="H8" i="8"/>
  <c r="S4" i="5" l="1"/>
  <c r="A7" i="3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C51" i="3" l="1"/>
  <c r="AC50" i="3"/>
  <c r="AC49" i="3"/>
  <c r="AC48" i="3"/>
  <c r="AC47" i="3"/>
  <c r="AC46" i="3"/>
  <c r="AC45" i="3"/>
  <c r="AC44" i="3"/>
  <c r="AC43" i="3"/>
  <c r="AC42" i="3"/>
  <c r="AC41" i="3"/>
  <c r="AC40" i="3"/>
  <c r="AC39" i="3"/>
  <c r="AC38" i="3"/>
  <c r="AC37" i="3"/>
  <c r="AC36" i="3"/>
  <c r="AC35" i="3"/>
  <c r="AC34" i="3"/>
  <c r="AC33" i="3"/>
  <c r="AC32" i="3"/>
  <c r="AC31" i="3"/>
  <c r="AC30" i="3"/>
  <c r="AC29" i="3"/>
  <c r="AC21" i="3"/>
  <c r="AC20" i="3"/>
  <c r="AC19" i="3"/>
  <c r="AC18" i="3"/>
  <c r="AC17" i="3"/>
  <c r="AC16" i="3"/>
  <c r="AC15" i="3"/>
  <c r="AC13" i="3"/>
  <c r="AC8" i="3"/>
  <c r="X51" i="3"/>
  <c r="X50" i="3"/>
  <c r="X49" i="3"/>
  <c r="X48" i="3"/>
  <c r="X47" i="3"/>
  <c r="X46" i="3"/>
  <c r="X45" i="3"/>
  <c r="X44" i="3"/>
  <c r="X43" i="3"/>
  <c r="X42" i="3"/>
  <c r="X41" i="3"/>
  <c r="X40" i="3"/>
  <c r="X39" i="3"/>
  <c r="X38" i="3"/>
  <c r="X37" i="3"/>
  <c r="X36" i="3"/>
  <c r="X35" i="3"/>
  <c r="X34" i="3"/>
  <c r="X33" i="3"/>
  <c r="X32" i="3"/>
  <c r="X31" i="3"/>
  <c r="X30" i="3"/>
  <c r="X29" i="3"/>
  <c r="X21" i="3"/>
  <c r="X20" i="3"/>
  <c r="X19" i="3"/>
  <c r="X18" i="3"/>
  <c r="X17" i="3"/>
  <c r="X16" i="3"/>
  <c r="X15" i="3"/>
  <c r="X13" i="3"/>
  <c r="X8" i="3"/>
  <c r="K51" i="3"/>
  <c r="AB51" i="3" s="1"/>
  <c r="K50" i="3"/>
  <c r="AB50" i="3" s="1"/>
  <c r="AD50" i="3" s="1"/>
  <c r="K49" i="3"/>
  <c r="AB49" i="3" s="1"/>
  <c r="K48" i="3"/>
  <c r="AB48" i="3" s="1"/>
  <c r="K47" i="3"/>
  <c r="AB47" i="3" s="1"/>
  <c r="K46" i="3"/>
  <c r="AB46" i="3" s="1"/>
  <c r="AD46" i="3" s="1"/>
  <c r="K45" i="3"/>
  <c r="AB45" i="3" s="1"/>
  <c r="K44" i="3"/>
  <c r="AB44" i="3" s="1"/>
  <c r="K43" i="3"/>
  <c r="AB43" i="3" s="1"/>
  <c r="K42" i="3"/>
  <c r="AB42" i="3" s="1"/>
  <c r="AD42" i="3" s="1"/>
  <c r="AE42" i="3" s="1"/>
  <c r="AG42" i="3" s="1"/>
  <c r="K41" i="3"/>
  <c r="AB41" i="3" s="1"/>
  <c r="K40" i="3"/>
  <c r="AB40" i="3" s="1"/>
  <c r="K39" i="3"/>
  <c r="AB39" i="3" s="1"/>
  <c r="K38" i="3"/>
  <c r="AB38" i="3" s="1"/>
  <c r="AD38" i="3" s="1"/>
  <c r="AE38" i="3" s="1"/>
  <c r="AG38" i="3" s="1"/>
  <c r="K37" i="3"/>
  <c r="AB37" i="3" s="1"/>
  <c r="K36" i="3"/>
  <c r="AB36" i="3" s="1"/>
  <c r="K35" i="3"/>
  <c r="AB35" i="3" s="1"/>
  <c r="K34" i="3"/>
  <c r="AB34" i="3" s="1"/>
  <c r="AD34" i="3" s="1"/>
  <c r="AE34" i="3" s="1"/>
  <c r="AG34" i="3" s="1"/>
  <c r="K33" i="3"/>
  <c r="AB33" i="3" s="1"/>
  <c r="K32" i="3"/>
  <c r="AB32" i="3" s="1"/>
  <c r="K31" i="3"/>
  <c r="AB31" i="3" s="1"/>
  <c r="K30" i="3"/>
  <c r="AB30" i="3" s="1"/>
  <c r="AD30" i="3" s="1"/>
  <c r="AE30" i="3" s="1"/>
  <c r="K29" i="3"/>
  <c r="AB29" i="3" s="1"/>
  <c r="K28" i="3"/>
  <c r="AB28" i="3" s="1"/>
  <c r="K27" i="3"/>
  <c r="K26" i="3"/>
  <c r="K25" i="3"/>
  <c r="K24" i="3"/>
  <c r="AB24" i="3" s="1"/>
  <c r="K23" i="3"/>
  <c r="AB23" i="3" s="1"/>
  <c r="K22" i="3"/>
  <c r="AB22" i="3" s="1"/>
  <c r="K21" i="3"/>
  <c r="K20" i="3"/>
  <c r="AB20" i="3" s="1"/>
  <c r="K19" i="3"/>
  <c r="AB19" i="3" s="1"/>
  <c r="K18" i="3"/>
  <c r="AB18" i="3" s="1"/>
  <c r="K17" i="3"/>
  <c r="AB17" i="3" s="1"/>
  <c r="K16" i="3"/>
  <c r="AB16" i="3" s="1"/>
  <c r="K15" i="3"/>
  <c r="AB15" i="3" s="1"/>
  <c r="K14" i="3"/>
  <c r="AB14" i="3" s="1"/>
  <c r="K13" i="3"/>
  <c r="K12" i="3"/>
  <c r="AB12" i="3" s="1"/>
  <c r="K11" i="3"/>
  <c r="K10" i="3"/>
  <c r="K9" i="3"/>
  <c r="K8" i="3"/>
  <c r="K7" i="3"/>
  <c r="T51" i="3"/>
  <c r="S51" i="3"/>
  <c r="R51" i="3"/>
  <c r="T50" i="3"/>
  <c r="S50" i="3"/>
  <c r="R50" i="3"/>
  <c r="T49" i="3"/>
  <c r="S49" i="3"/>
  <c r="R49" i="3"/>
  <c r="T48" i="3"/>
  <c r="S48" i="3"/>
  <c r="R48" i="3"/>
  <c r="T47" i="3"/>
  <c r="S47" i="3"/>
  <c r="R47" i="3"/>
  <c r="T46" i="3"/>
  <c r="S46" i="3"/>
  <c r="R46" i="3"/>
  <c r="T45" i="3"/>
  <c r="S45" i="3"/>
  <c r="R45" i="3"/>
  <c r="T44" i="3"/>
  <c r="S44" i="3"/>
  <c r="R44" i="3"/>
  <c r="T43" i="3"/>
  <c r="S43" i="3"/>
  <c r="R43" i="3"/>
  <c r="T42" i="3"/>
  <c r="S42" i="3"/>
  <c r="R42" i="3"/>
  <c r="T41" i="3"/>
  <c r="S41" i="3"/>
  <c r="R41" i="3"/>
  <c r="T40" i="3"/>
  <c r="S40" i="3"/>
  <c r="R40" i="3"/>
  <c r="T39" i="3"/>
  <c r="S39" i="3"/>
  <c r="R39" i="3"/>
  <c r="T38" i="3"/>
  <c r="S38" i="3"/>
  <c r="R38" i="3"/>
  <c r="T37" i="3"/>
  <c r="S37" i="3"/>
  <c r="R37" i="3"/>
  <c r="T36" i="3"/>
  <c r="S36" i="3"/>
  <c r="R36" i="3"/>
  <c r="T35" i="3"/>
  <c r="S35" i="3"/>
  <c r="R35" i="3"/>
  <c r="T34" i="3"/>
  <c r="S34" i="3"/>
  <c r="R34" i="3"/>
  <c r="T33" i="3"/>
  <c r="S33" i="3"/>
  <c r="R33" i="3"/>
  <c r="T32" i="3"/>
  <c r="S32" i="3"/>
  <c r="R32" i="3"/>
  <c r="T31" i="3"/>
  <c r="S31" i="3"/>
  <c r="R31" i="3"/>
  <c r="T30" i="3"/>
  <c r="S30" i="3"/>
  <c r="R30" i="3"/>
  <c r="T29" i="3"/>
  <c r="S29" i="3"/>
  <c r="R29" i="3"/>
  <c r="T28" i="3"/>
  <c r="S28" i="3"/>
  <c r="R28" i="3"/>
  <c r="R27" i="3"/>
  <c r="R26" i="3"/>
  <c r="R25" i="3"/>
  <c r="H51" i="3"/>
  <c r="M51" i="3" s="1"/>
  <c r="H50" i="3"/>
  <c r="W50" i="3" s="1"/>
  <c r="H49" i="3"/>
  <c r="W49" i="3" s="1"/>
  <c r="H48" i="3"/>
  <c r="W48" i="3" s="1"/>
  <c r="H47" i="3"/>
  <c r="M47" i="3" s="1"/>
  <c r="H46" i="3"/>
  <c r="W46" i="3" s="1"/>
  <c r="H45" i="3"/>
  <c r="W45" i="3" s="1"/>
  <c r="H44" i="3"/>
  <c r="W44" i="3" s="1"/>
  <c r="H43" i="3"/>
  <c r="M43" i="3" s="1"/>
  <c r="H42" i="3"/>
  <c r="W42" i="3" s="1"/>
  <c r="H41" i="3"/>
  <c r="W41" i="3" s="1"/>
  <c r="H40" i="3"/>
  <c r="W40" i="3" s="1"/>
  <c r="H39" i="3"/>
  <c r="M39" i="3" s="1"/>
  <c r="H38" i="3"/>
  <c r="W38" i="3" s="1"/>
  <c r="H37" i="3"/>
  <c r="W37" i="3" s="1"/>
  <c r="H36" i="3"/>
  <c r="W36" i="3" s="1"/>
  <c r="H35" i="3"/>
  <c r="M35" i="3" s="1"/>
  <c r="H34" i="3"/>
  <c r="W34" i="3" s="1"/>
  <c r="H33" i="3"/>
  <c r="W33" i="3" s="1"/>
  <c r="H32" i="3"/>
  <c r="W32" i="3" s="1"/>
  <c r="H31" i="3"/>
  <c r="M31" i="3" s="1"/>
  <c r="H30" i="3"/>
  <c r="H29" i="3"/>
  <c r="H28" i="3"/>
  <c r="W28" i="3" s="1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W13" i="3" s="1"/>
  <c r="H12" i="3"/>
  <c r="H11" i="3"/>
  <c r="H10" i="3"/>
  <c r="H9" i="3"/>
  <c r="H8" i="3"/>
  <c r="H7" i="3"/>
  <c r="M46" i="3" l="1"/>
  <c r="M38" i="3"/>
  <c r="M50" i="3"/>
  <c r="M32" i="3"/>
  <c r="M40" i="3"/>
  <c r="M48" i="3"/>
  <c r="M34" i="3"/>
  <c r="M42" i="3"/>
  <c r="M36" i="3"/>
  <c r="M44" i="3"/>
  <c r="M33" i="3"/>
  <c r="M37" i="3"/>
  <c r="M41" i="3"/>
  <c r="M45" i="3"/>
  <c r="M49" i="3"/>
  <c r="W31" i="3"/>
  <c r="Y31" i="3" s="1"/>
  <c r="Z31" i="3" s="1"/>
  <c r="W35" i="3"/>
  <c r="W39" i="3"/>
  <c r="Y39" i="3" s="1"/>
  <c r="W43" i="3"/>
  <c r="Y43" i="3" s="1"/>
  <c r="W47" i="3"/>
  <c r="Y47" i="3" s="1"/>
  <c r="W51" i="3"/>
  <c r="Y51" i="3" s="1"/>
  <c r="I4" i="5"/>
  <c r="I8" i="5"/>
  <c r="H4" i="5"/>
  <c r="G4" i="5"/>
  <c r="I7" i="5"/>
  <c r="I5" i="5"/>
  <c r="I6" i="5"/>
  <c r="H5" i="5"/>
  <c r="G5" i="5"/>
  <c r="H7" i="5"/>
  <c r="H6" i="5"/>
  <c r="G6" i="5"/>
  <c r="G7" i="5"/>
  <c r="H8" i="5"/>
  <c r="F7" i="5"/>
  <c r="F4" i="5"/>
  <c r="G8" i="5"/>
  <c r="F6" i="5"/>
  <c r="F5" i="5"/>
  <c r="F8" i="5"/>
  <c r="E7" i="5"/>
  <c r="E5" i="5"/>
  <c r="E4" i="5"/>
  <c r="E6" i="5"/>
  <c r="Y34" i="3"/>
  <c r="Y38" i="3"/>
  <c r="Y42" i="3"/>
  <c r="Y46" i="3"/>
  <c r="Y50" i="3"/>
  <c r="AD31" i="3"/>
  <c r="AE31" i="3" s="1"/>
  <c r="AD35" i="3"/>
  <c r="AE35" i="3" s="1"/>
  <c r="AG35" i="3" s="1"/>
  <c r="AD39" i="3"/>
  <c r="AE39" i="3" s="1"/>
  <c r="AG39" i="3" s="1"/>
  <c r="AD43" i="3"/>
  <c r="AE43" i="3" s="1"/>
  <c r="AG43" i="3" s="1"/>
  <c r="AD47" i="3"/>
  <c r="AD51" i="3"/>
  <c r="AD29" i="3"/>
  <c r="AE29" i="3" s="1"/>
  <c r="AD33" i="3"/>
  <c r="AE33" i="3" s="1"/>
  <c r="AD37" i="3"/>
  <c r="AE37" i="3" s="1"/>
  <c r="AG37" i="3" s="1"/>
  <c r="AD41" i="3"/>
  <c r="AE41" i="3" s="1"/>
  <c r="AG41" i="3" s="1"/>
  <c r="AD45" i="3"/>
  <c r="AD49" i="3"/>
  <c r="E8" i="5"/>
  <c r="AD15" i="3"/>
  <c r="AE15" i="3" s="1"/>
  <c r="AD19" i="3"/>
  <c r="AE19" i="3" s="1"/>
  <c r="AB10" i="3"/>
  <c r="AB8" i="3"/>
  <c r="AD8" i="3" s="1"/>
  <c r="AE8" i="3" s="1"/>
  <c r="AB21" i="3"/>
  <c r="AD21" i="3" s="1"/>
  <c r="AE21" i="3" s="1"/>
  <c r="M19" i="3"/>
  <c r="M16" i="3"/>
  <c r="M22" i="3"/>
  <c r="W26" i="3"/>
  <c r="M30" i="3"/>
  <c r="M29" i="3"/>
  <c r="W30" i="3"/>
  <c r="Y30" i="3" s="1"/>
  <c r="W29" i="3"/>
  <c r="Y29" i="3" s="1"/>
  <c r="Z29" i="3" s="1"/>
  <c r="M25" i="3"/>
  <c r="AD20" i="3"/>
  <c r="AE20" i="3" s="1"/>
  <c r="M18" i="3"/>
  <c r="AD16" i="3"/>
  <c r="AE16" i="3" s="1"/>
  <c r="M15" i="3"/>
  <c r="M21" i="3"/>
  <c r="M20" i="3"/>
  <c r="M17" i="3"/>
  <c r="M27" i="3"/>
  <c r="M26" i="3"/>
  <c r="M23" i="3"/>
  <c r="M28" i="3"/>
  <c r="W27" i="3"/>
  <c r="M24" i="3"/>
  <c r="AD18" i="3"/>
  <c r="AE18" i="3" s="1"/>
  <c r="Y32" i="3"/>
  <c r="Z32" i="3" s="1"/>
  <c r="Y36" i="3"/>
  <c r="Y40" i="3"/>
  <c r="Y44" i="3"/>
  <c r="Y48" i="3"/>
  <c r="Y33" i="3"/>
  <c r="Z33" i="3" s="1"/>
  <c r="Y37" i="3"/>
  <c r="Y41" i="3"/>
  <c r="Y45" i="3"/>
  <c r="Y49" i="3"/>
  <c r="AD32" i="3"/>
  <c r="AE32" i="3" s="1"/>
  <c r="AD36" i="3"/>
  <c r="AE36" i="3" s="1"/>
  <c r="AG36" i="3" s="1"/>
  <c r="AD40" i="3"/>
  <c r="AE40" i="3" s="1"/>
  <c r="AG40" i="3" s="1"/>
  <c r="AD44" i="3"/>
  <c r="AD48" i="3"/>
  <c r="U28" i="3"/>
  <c r="X28" i="3" s="1"/>
  <c r="Y28" i="3" s="1"/>
  <c r="Z28" i="3" s="1"/>
  <c r="U29" i="3"/>
  <c r="U32" i="3"/>
  <c r="U33" i="3"/>
  <c r="U36" i="3"/>
  <c r="U37" i="3"/>
  <c r="U40" i="3"/>
  <c r="U41" i="3"/>
  <c r="U44" i="3"/>
  <c r="U45" i="3"/>
  <c r="U48" i="3"/>
  <c r="U49" i="3"/>
  <c r="AD17" i="3"/>
  <c r="AE17" i="3" s="1"/>
  <c r="U31" i="3"/>
  <c r="U35" i="3"/>
  <c r="U39" i="3"/>
  <c r="U43" i="3"/>
  <c r="U47" i="3"/>
  <c r="U51" i="3"/>
  <c r="Y35" i="3"/>
  <c r="U30" i="3"/>
  <c r="U34" i="3"/>
  <c r="U38" i="3"/>
  <c r="U42" i="3"/>
  <c r="U46" i="3"/>
  <c r="U50" i="3"/>
  <c r="AB11" i="3"/>
  <c r="AB9" i="3"/>
  <c r="Y13" i="3"/>
  <c r="Z13" i="3" s="1"/>
  <c r="AG33" i="3" l="1"/>
  <c r="AG31" i="3"/>
  <c r="AG29" i="3"/>
  <c r="AG32" i="3"/>
  <c r="W25" i="3"/>
  <c r="W23" i="3"/>
  <c r="Z30" i="3"/>
  <c r="AG30" i="3" s="1"/>
  <c r="AC25" i="3"/>
  <c r="X24" i="3"/>
  <c r="X27" i="3"/>
  <c r="Y27" i="3" s="1"/>
  <c r="X10" i="3"/>
  <c r="AC28" i="3"/>
  <c r="AD28" i="3" s="1"/>
  <c r="AE28" i="3" s="1"/>
  <c r="AG28" i="3" s="1"/>
  <c r="X22" i="3"/>
  <c r="AC22" i="3"/>
  <c r="AD22" i="3" s="1"/>
  <c r="AE22" i="3" s="1"/>
  <c r="Z27" i="3" l="1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7" i="8"/>
  <c r="D28" i="8"/>
  <c r="D29" i="8"/>
  <c r="D30" i="8"/>
  <c r="D31" i="8"/>
  <c r="D32" i="8"/>
  <c r="D33" i="8"/>
  <c r="D34" i="8"/>
  <c r="D35" i="8"/>
  <c r="D36" i="8"/>
  <c r="D37" i="8"/>
  <c r="D8" i="8"/>
  <c r="M8" i="3" l="1"/>
  <c r="M14" i="3" l="1"/>
  <c r="M13" i="3"/>
  <c r="M12" i="3"/>
  <c r="M11" i="3"/>
  <c r="M10" i="3"/>
  <c r="M9" i="3"/>
  <c r="M7" i="3"/>
  <c r="M4" i="3" s="1"/>
  <c r="AB15" i="8"/>
  <c r="AB12" i="8"/>
  <c r="AB18" i="8"/>
  <c r="AB19" i="8"/>
  <c r="AB20" i="8"/>
  <c r="AB22" i="8"/>
  <c r="AC22" i="8" s="1"/>
  <c r="AD22" i="8" s="1"/>
  <c r="AB26" i="8"/>
  <c r="AB30" i="8"/>
  <c r="AC30" i="8" s="1"/>
  <c r="AD30" i="8" s="1"/>
  <c r="AB34" i="8"/>
  <c r="AC34" i="8" s="1"/>
  <c r="AD34" i="8" s="1"/>
  <c r="AB16" i="8"/>
  <c r="T25" i="3" s="1"/>
  <c r="AB17" i="8"/>
  <c r="AC17" i="8" s="1"/>
  <c r="AD17" i="8" s="1"/>
  <c r="AB21" i="8"/>
  <c r="AC21" i="8" s="1"/>
  <c r="AD21" i="8" s="1"/>
  <c r="AB13" i="8"/>
  <c r="AB14" i="8"/>
  <c r="S24" i="3" s="1"/>
  <c r="AB23" i="8"/>
  <c r="AB24" i="8"/>
  <c r="AB25" i="8"/>
  <c r="AB27" i="8"/>
  <c r="AB28" i="8"/>
  <c r="AB29" i="8"/>
  <c r="AC29" i="8" s="1"/>
  <c r="AD29" i="8" s="1"/>
  <c r="AB31" i="8"/>
  <c r="AC31" i="8" s="1"/>
  <c r="AD31" i="8" s="1"/>
  <c r="AB32" i="8"/>
  <c r="AC32" i="8" s="1"/>
  <c r="AD32" i="8" s="1"/>
  <c r="AB33" i="8"/>
  <c r="AC33" i="8" s="1"/>
  <c r="AD33" i="8" s="1"/>
  <c r="AB35" i="8"/>
  <c r="AC35" i="8" s="1"/>
  <c r="AD35" i="8" s="1"/>
  <c r="AB36" i="8"/>
  <c r="AC36" i="8" s="1"/>
  <c r="AD36" i="8" s="1"/>
  <c r="AB11" i="8"/>
  <c r="AB37" i="8"/>
  <c r="AB10" i="8"/>
  <c r="AB9" i="8"/>
  <c r="AB8" i="8"/>
  <c r="S23" i="3" l="1"/>
  <c r="S22" i="3"/>
  <c r="S27" i="3"/>
  <c r="AC28" i="8"/>
  <c r="AD28" i="8" s="1"/>
  <c r="S26" i="3"/>
  <c r="AC27" i="8"/>
  <c r="AD27" i="8" s="1"/>
  <c r="T26" i="3"/>
  <c r="T27" i="3"/>
  <c r="S25" i="3"/>
  <c r="U25" i="3" s="1"/>
  <c r="AC25" i="8"/>
  <c r="AD25" i="8" s="1"/>
  <c r="R23" i="3"/>
  <c r="AC37" i="8"/>
  <c r="AD37" i="8" s="1"/>
  <c r="T22" i="3"/>
  <c r="T23" i="3"/>
  <c r="T24" i="3"/>
  <c r="AC26" i="8"/>
  <c r="AD26" i="8" s="1"/>
  <c r="R22" i="3"/>
  <c r="R24" i="3"/>
  <c r="S21" i="3"/>
  <c r="R13" i="3"/>
  <c r="R14" i="3"/>
  <c r="AC24" i="8"/>
  <c r="AD24" i="8" s="1"/>
  <c r="S8" i="3"/>
  <c r="AC19" i="8"/>
  <c r="AD19" i="8" s="1"/>
  <c r="S13" i="3"/>
  <c r="R21" i="3"/>
  <c r="AC23" i="8"/>
  <c r="AD23" i="8" s="1"/>
  <c r="AC18" i="8"/>
  <c r="AD18" i="8" s="1"/>
  <c r="AC20" i="8"/>
  <c r="AD20" i="8" s="1"/>
  <c r="R20" i="3"/>
  <c r="R17" i="3"/>
  <c r="AC12" i="8"/>
  <c r="AD12" i="8" s="1"/>
  <c r="S14" i="3"/>
  <c r="AC16" i="8"/>
  <c r="AD16" i="8" s="1"/>
  <c r="R10" i="3"/>
  <c r="AC15" i="8"/>
  <c r="AD15" i="8" s="1"/>
  <c r="S20" i="3"/>
  <c r="S17" i="3"/>
  <c r="AC14" i="8"/>
  <c r="AD14" i="8" s="1"/>
  <c r="S18" i="3"/>
  <c r="S7" i="3"/>
  <c r="AC13" i="8"/>
  <c r="AD13" i="8" s="1"/>
  <c r="R16" i="3"/>
  <c r="S11" i="3"/>
  <c r="R19" i="3"/>
  <c r="S9" i="3"/>
  <c r="R15" i="3"/>
  <c r="S12" i="3"/>
  <c r="S10" i="3"/>
  <c r="AC11" i="8"/>
  <c r="AD11" i="8" s="1"/>
  <c r="S19" i="3"/>
  <c r="R18" i="3"/>
  <c r="R12" i="3"/>
  <c r="R11" i="3"/>
  <c r="R9" i="3"/>
  <c r="AC10" i="8"/>
  <c r="AD10" i="8" s="1"/>
  <c r="S15" i="3"/>
  <c r="AC9" i="8"/>
  <c r="AD9" i="8" s="1"/>
  <c r="S16" i="3"/>
  <c r="U16" i="3" s="1"/>
  <c r="W16" i="3" s="1"/>
  <c r="Y16" i="3" s="1"/>
  <c r="Z16" i="3" s="1"/>
  <c r="AG16" i="3" s="1"/>
  <c r="R7" i="3"/>
  <c r="AC8" i="8"/>
  <c r="AD8" i="8" s="1"/>
  <c r="R8" i="3"/>
  <c r="U26" i="3" l="1"/>
  <c r="AB26" i="3"/>
  <c r="X26" i="3"/>
  <c r="Y26" i="3" s="1"/>
  <c r="Z26" i="3" s="1"/>
  <c r="AC26" i="3"/>
  <c r="U27" i="3"/>
  <c r="X25" i="3"/>
  <c r="Y25" i="3" s="1"/>
  <c r="Z25" i="3" s="1"/>
  <c r="AB25" i="3"/>
  <c r="AD25" i="3" s="1"/>
  <c r="AE25" i="3" s="1"/>
  <c r="U22" i="3"/>
  <c r="W22" i="3" s="1"/>
  <c r="Y22" i="3" s="1"/>
  <c r="Z22" i="3" s="1"/>
  <c r="AG22" i="3" s="1"/>
  <c r="U8" i="3"/>
  <c r="W8" i="3" s="1"/>
  <c r="Y8" i="3" s="1"/>
  <c r="Z8" i="3" s="1"/>
  <c r="AG8" i="3" s="1"/>
  <c r="U24" i="3"/>
  <c r="U7" i="3"/>
  <c r="AC24" i="3"/>
  <c r="AD24" i="3" s="1"/>
  <c r="AE24" i="3" s="1"/>
  <c r="W24" i="3"/>
  <c r="Y24" i="3" s="1"/>
  <c r="Z24" i="3" s="1"/>
  <c r="U23" i="3"/>
  <c r="U21" i="3"/>
  <c r="W21" i="3" s="1"/>
  <c r="Y21" i="3" s="1"/>
  <c r="Z21" i="3" s="1"/>
  <c r="AG21" i="3" s="1"/>
  <c r="U10" i="3"/>
  <c r="W10" i="3" s="1"/>
  <c r="Y10" i="3" s="1"/>
  <c r="U14" i="3"/>
  <c r="W14" i="3" s="1"/>
  <c r="U13" i="3"/>
  <c r="AB13" i="3" s="1"/>
  <c r="AD13" i="3" s="1"/>
  <c r="U18" i="3"/>
  <c r="W18" i="3" s="1"/>
  <c r="Y18" i="3" s="1"/>
  <c r="Z18" i="3" s="1"/>
  <c r="AG18" i="3" s="1"/>
  <c r="U20" i="3"/>
  <c r="W20" i="3" s="1"/>
  <c r="Y20" i="3" s="1"/>
  <c r="Z20" i="3" s="1"/>
  <c r="AG20" i="3" s="1"/>
  <c r="U17" i="3"/>
  <c r="W17" i="3" s="1"/>
  <c r="Y17" i="3" s="1"/>
  <c r="Z17" i="3" s="1"/>
  <c r="AG17" i="3" s="1"/>
  <c r="U12" i="3"/>
  <c r="X14" i="3"/>
  <c r="AC14" i="3"/>
  <c r="AD14" i="3" s="1"/>
  <c r="AE14" i="3" s="1"/>
  <c r="AC7" i="3"/>
  <c r="U11" i="3"/>
  <c r="U15" i="3"/>
  <c r="W15" i="3" s="1"/>
  <c r="Y15" i="3" s="1"/>
  <c r="AC10" i="3"/>
  <c r="AD10" i="3" s="1"/>
  <c r="AE10" i="3" s="1"/>
  <c r="U9" i="3"/>
  <c r="U19" i="3"/>
  <c r="W19" i="3" s="1"/>
  <c r="Y19" i="3" s="1"/>
  <c r="Z19" i="3" s="1"/>
  <c r="AG19" i="3" s="1"/>
  <c r="AB7" i="3"/>
  <c r="AG25" i="3" l="1"/>
  <c r="AD26" i="3"/>
  <c r="AE26" i="3" s="1"/>
  <c r="AG26" i="3" s="1"/>
  <c r="U4" i="3"/>
  <c r="AC27" i="3"/>
  <c r="AB27" i="3"/>
  <c r="AG24" i="3"/>
  <c r="X23" i="3"/>
  <c r="Y23" i="3" s="1"/>
  <c r="Z23" i="3" s="1"/>
  <c r="AC23" i="3"/>
  <c r="AD23" i="3" s="1"/>
  <c r="AE23" i="3" s="1"/>
  <c r="W7" i="3"/>
  <c r="Z15" i="3"/>
  <c r="AG15" i="3" s="1"/>
  <c r="Y14" i="3"/>
  <c r="AC11" i="3"/>
  <c r="AD11" i="3" s="1"/>
  <c r="AE11" i="3" s="1"/>
  <c r="W11" i="3"/>
  <c r="AC9" i="3"/>
  <c r="AD9" i="3" s="1"/>
  <c r="AE9" i="3" s="1"/>
  <c r="W9" i="3"/>
  <c r="AC12" i="3"/>
  <c r="AD12" i="3" s="1"/>
  <c r="AE12" i="3" s="1"/>
  <c r="W12" i="3"/>
  <c r="X9" i="3"/>
  <c r="X12" i="3"/>
  <c r="X11" i="3"/>
  <c r="AE13" i="3"/>
  <c r="AG13" i="3" s="1"/>
  <c r="X7" i="3"/>
  <c r="Z10" i="3"/>
  <c r="AG10" i="3" s="1"/>
  <c r="AD7" i="3"/>
  <c r="AE7" i="3" s="1"/>
  <c r="AD27" i="3" l="1"/>
  <c r="AE27" i="3" s="1"/>
  <c r="AG27" i="3" s="1"/>
  <c r="AG23" i="3"/>
  <c r="Y7" i="3"/>
  <c r="Z7" i="3" s="1"/>
  <c r="AG7" i="3" s="1"/>
  <c r="Z14" i="3"/>
  <c r="AG14" i="3" s="1"/>
  <c r="Y9" i="3"/>
  <c r="Y11" i="3"/>
  <c r="Y12" i="3"/>
  <c r="Z12" i="3" s="1"/>
  <c r="AG12" i="3" s="1"/>
  <c r="Z9" i="3" l="1"/>
  <c r="AG9" i="3" s="1"/>
  <c r="Z11" i="3"/>
  <c r="I18" i="5" s="1"/>
  <c r="I19" i="5" l="1"/>
  <c r="G16" i="5"/>
  <c r="G19" i="5"/>
  <c r="E17" i="5"/>
  <c r="E16" i="5"/>
  <c r="G18" i="5"/>
  <c r="F16" i="5"/>
  <c r="G17" i="5"/>
  <c r="I16" i="5"/>
  <c r="F19" i="5"/>
  <c r="E15" i="5"/>
  <c r="E18" i="5"/>
  <c r="AG11" i="3"/>
  <c r="AG4" i="3" s="1"/>
  <c r="H16" i="5"/>
  <c r="F17" i="5"/>
  <c r="H19" i="5"/>
  <c r="G15" i="5"/>
  <c r="H15" i="5"/>
  <c r="I17" i="5"/>
  <c r="H17" i="5"/>
  <c r="H18" i="5"/>
  <c r="F18" i="5"/>
  <c r="E19" i="5"/>
  <c r="F15" i="5"/>
  <c r="I15" i="5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<sst xmlns="http://schemas.openxmlformats.org/spreadsheetml/2006/main" count="609" uniqueCount="199">
  <si>
    <t>Riesgo</t>
  </si>
  <si>
    <t>Causa</t>
  </si>
  <si>
    <t>Riesgo Asociado</t>
  </si>
  <si>
    <t>Factor de Riesgo</t>
  </si>
  <si>
    <t>Probabilidad</t>
  </si>
  <si>
    <t>Impacto</t>
  </si>
  <si>
    <t>Riesgo Inherente</t>
  </si>
  <si>
    <t>Disminuye</t>
  </si>
  <si>
    <t>Efectividad</t>
  </si>
  <si>
    <t>Riesgo Residual</t>
  </si>
  <si>
    <t>Reputacional</t>
  </si>
  <si>
    <t>MEDIO</t>
  </si>
  <si>
    <t>Raro</t>
  </si>
  <si>
    <t>Muy Probable</t>
  </si>
  <si>
    <t>Posible</t>
  </si>
  <si>
    <t>Usar los canales de distribución con fines ilícitos</t>
  </si>
  <si>
    <t>Jurisdicción</t>
  </si>
  <si>
    <t>Poco Probable</t>
  </si>
  <si>
    <t>BAJO</t>
  </si>
  <si>
    <t>Legal</t>
  </si>
  <si>
    <t>ALTO</t>
  </si>
  <si>
    <t>Realizar operaciones con documentos falsos</t>
  </si>
  <si>
    <t>MUY BAJO</t>
  </si>
  <si>
    <t>Relación con compañías Fachada</t>
  </si>
  <si>
    <t>Recibir aportes de dinero proveniente de actividades ilícitas</t>
  </si>
  <si>
    <t>Operacional</t>
  </si>
  <si>
    <t>Accionistas</t>
  </si>
  <si>
    <t>Administrativa</t>
  </si>
  <si>
    <t>Proceso/Area</t>
  </si>
  <si>
    <t>Canales</t>
  </si>
  <si>
    <t>Proveedores</t>
  </si>
  <si>
    <t>Recibir o realizar pagos a clientes y/o Terceros incumpliendo la política de efectivo</t>
  </si>
  <si>
    <t>No.</t>
  </si>
  <si>
    <t>PROBABILIDAD</t>
  </si>
  <si>
    <t>IMPACTO</t>
  </si>
  <si>
    <t>Casi seguro</t>
  </si>
  <si>
    <t>Muy Alto</t>
  </si>
  <si>
    <t>Alto</t>
  </si>
  <si>
    <t>Medio</t>
  </si>
  <si>
    <t>Bajo</t>
  </si>
  <si>
    <t>Muy Bajo</t>
  </si>
  <si>
    <t>Calificación</t>
  </si>
  <si>
    <t>CASI SEGURO</t>
  </si>
  <si>
    <t>MUY PROBABLE</t>
  </si>
  <si>
    <t>POSIBLE</t>
  </si>
  <si>
    <t>POCO PROBABLE</t>
  </si>
  <si>
    <t>RARO</t>
  </si>
  <si>
    <t>MUY ALTO</t>
  </si>
  <si>
    <t>CONTROL</t>
  </si>
  <si>
    <t>POR TIPO</t>
  </si>
  <si>
    <t>PREVENTIVO</t>
  </si>
  <si>
    <t>DETECTIVO</t>
  </si>
  <si>
    <t>CORRECTIVO</t>
  </si>
  <si>
    <t>POR NATURALEZA</t>
  </si>
  <si>
    <t>AUTOMATICO</t>
  </si>
  <si>
    <t>MANUAL</t>
  </si>
  <si>
    <t>MIXTO</t>
  </si>
  <si>
    <t>FORMAL</t>
  </si>
  <si>
    <t>INFORMAL</t>
  </si>
  <si>
    <t>EVIDENCIA</t>
  </si>
  <si>
    <t>DOCUMENTACION</t>
  </si>
  <si>
    <t>DOCUMENTADO</t>
  </si>
  <si>
    <t>NO DOCUMENTADO</t>
  </si>
  <si>
    <t>PERIODICIDAD</t>
  </si>
  <si>
    <t>DIARIO</t>
  </si>
  <si>
    <t>MENSUAL</t>
  </si>
  <si>
    <t>ANUAL</t>
  </si>
  <si>
    <t>ESPORADICO</t>
  </si>
  <si>
    <t>IMPLEMENTACION</t>
  </si>
  <si>
    <t>IMPLEMENTADO</t>
  </si>
  <si>
    <t>EN DESARROLLO</t>
  </si>
  <si>
    <t>NO EXISTE</t>
  </si>
  <si>
    <t>PESO</t>
  </si>
  <si>
    <t>X</t>
  </si>
  <si>
    <t>TOTALES</t>
  </si>
  <si>
    <t>PESO %</t>
  </si>
  <si>
    <t>DISMINUYE</t>
  </si>
  <si>
    <t>Control1</t>
  </si>
  <si>
    <t>Control2</t>
  </si>
  <si>
    <t>Control3</t>
  </si>
  <si>
    <t>x</t>
  </si>
  <si>
    <t>El funcionario Comercial Valida que el Formato de Vinculación esté completamente diligenciado sin enmendaduras ni tachones</t>
  </si>
  <si>
    <t>Validación Listas</t>
  </si>
  <si>
    <t>Validación Formato</t>
  </si>
  <si>
    <t>Validación telefónica</t>
  </si>
  <si>
    <t>P1</t>
  </si>
  <si>
    <t>P2</t>
  </si>
  <si>
    <t>I1</t>
  </si>
  <si>
    <t>I2</t>
  </si>
  <si>
    <t>Sin Control</t>
  </si>
  <si>
    <t>Visita Entrevista</t>
  </si>
  <si>
    <t>Entidad Financiera</t>
  </si>
  <si>
    <t>Actualización Información</t>
  </si>
  <si>
    <t xml:space="preserve">Monitoreo constante de las transacciones de asociados/clientes por parte del Oficial de Cumplimiento </t>
  </si>
  <si>
    <t>Monitoreo de Transacciones</t>
  </si>
  <si>
    <t>Conocimiento Pep</t>
  </si>
  <si>
    <t>Recibir Multas o sanciones por parte de las entidades de control</t>
  </si>
  <si>
    <t>Respuesta Requerimientos</t>
  </si>
  <si>
    <t>Envio de Reportes</t>
  </si>
  <si>
    <t>Reporte Inusuales</t>
  </si>
  <si>
    <t>Contratos Funcionarios</t>
  </si>
  <si>
    <t>Vinculación Proveedores</t>
  </si>
  <si>
    <r>
      <rPr>
        <b/>
        <sz val="12"/>
        <color rgb="FFFF0000"/>
        <rFont val="Calibri"/>
        <family val="2"/>
        <scheme val="minor"/>
      </rPr>
      <t>Notas:</t>
    </r>
    <r>
      <rPr>
        <sz val="12"/>
        <color rgb="FFFF0000"/>
        <rFont val="Calibri"/>
        <family val="2"/>
        <scheme val="minor"/>
      </rPr>
      <t xml:space="preserve"> </t>
    </r>
  </si>
  <si>
    <t>Solo asigne una calificación a cada factor por control</t>
  </si>
  <si>
    <t xml:space="preserve">Diligencie con X las celdas que definen la calidad del control, NUNCA diligencie las casillas PESO   </t>
  </si>
  <si>
    <t>#</t>
  </si>
  <si>
    <t>Descripcion</t>
  </si>
  <si>
    <t>MATRIZ DE RIESGO RESIDUAL</t>
  </si>
  <si>
    <t>MATRIZ DE RIESGO INHERENTE</t>
  </si>
  <si>
    <t>CALIFICACION</t>
  </si>
  <si>
    <t>No existen políticas ni procedimientos para la prevención de LAFT.</t>
  </si>
  <si>
    <t>Inadecuada o inexistente capacitación de funcionarios en prevención de LAFT.</t>
  </si>
  <si>
    <t>Inadecuados o inexistentes procedimientos de validación de listas Restrictivas.</t>
  </si>
  <si>
    <t>Falta de recursos económicos, físicos, tecnológicos y humanos.</t>
  </si>
  <si>
    <t>Deficiente estructuración del sistema de prevención de LAFT.</t>
  </si>
  <si>
    <t>Deficiente evaluación o estudio de proveedores de bienes o servicios en relación a vulnerabilidad en comisión de delitos conexos o subyacentes al LAFT.</t>
  </si>
  <si>
    <t>Contagio</t>
  </si>
  <si>
    <t>RIESGO RESIDUAL PROMEDIO</t>
  </si>
  <si>
    <t>CAUSAS DE RIESGO</t>
  </si>
  <si>
    <t>Proceso o Area</t>
  </si>
  <si>
    <t>FACTOR DEL RIESGO</t>
  </si>
  <si>
    <t>DESCRIPCION DEL CONTROL</t>
  </si>
  <si>
    <t>PROBABILIDAD E IMPACTO</t>
  </si>
  <si>
    <t>Total de Probabilidad</t>
  </si>
  <si>
    <t>Total de Impacto</t>
  </si>
  <si>
    <t>1-Indicadores</t>
  </si>
  <si>
    <t>sistema de etica empresarial</t>
  </si>
  <si>
    <t>manual de etica</t>
  </si>
  <si>
    <t xml:space="preserve">2-indentificar las politicas =conflicto de interes, control de fruaude, equidad y </t>
  </si>
  <si>
    <t>inventario de las politica</t>
  </si>
  <si>
    <t>gestion financiera, talento humano,</t>
  </si>
  <si>
    <t>3-integral o unir con las politicas que tenga azteca comunicaciones o sugerir lo que tengan en el sistema de etica empresarial</t>
  </si>
  <si>
    <t>4-crear una politica de etica para cada macro proceso</t>
  </si>
  <si>
    <t>Recibir pagos de clientes y/o Terceros incumpliendo la política de efectivo</t>
  </si>
  <si>
    <t>No existen políticas ni procedimientos para la prevención de Lavado de Activos, Financiación del Terrorismo y proliferación de Armas.</t>
  </si>
  <si>
    <t>Vinculación de clientes relacionados en delitos de Lavado de Activos, Financiación del Terrorismo y proliferación de Armas</t>
  </si>
  <si>
    <t>Inadecuada o inexistente capacitación de funcionarios en prevención de Lavado de Activos, Financiación del Terrorismo y proliferación de Armas.</t>
  </si>
  <si>
    <t>Operaciones con clientes ubicados en zonas de alto riesgo Lavado de Activos, Financiación del Terrorismo y proliferación de Armas</t>
  </si>
  <si>
    <t>Deficiente estructuración del sistema de prevención de Lavado de Activos, Financiación del Terrorismo y proliferación de Armas.</t>
  </si>
  <si>
    <t>Inadecuada adopción de políticas de buen gobierno corporativo en prevención de Lavado de Activos, Financiación del Terrorismo y proliferación de Armas.</t>
  </si>
  <si>
    <t>Deficiente evaluación o estudio de proveedores de bienes o servicios en relación a vulnerabilidad en comisión de delitos conexos o subyacentes al Lavado de Activos, Financiación del Terrorismo y proliferación de Armas.</t>
  </si>
  <si>
    <t>MATRIZ DE GESTION DE RIESGOS LAFT SAGRILAFT - GESTION DE RIESGOS</t>
  </si>
  <si>
    <t>Capacitación SAGRILAFT</t>
  </si>
  <si>
    <t>Capacitación Periodica de los colaboradores  en SAGRILAFT</t>
  </si>
  <si>
    <t>Establecer a cada colaborador, contratos que especifican el alcance, las obligaciones y las responsabilidades frente al SAGRILAFT</t>
  </si>
  <si>
    <t>Políticas SAGRILAFT</t>
  </si>
  <si>
    <t>Manual SAGRILAFT</t>
  </si>
  <si>
    <t>Declaración de Origen  de Fondos</t>
  </si>
  <si>
    <t>Gerencia Comercial</t>
  </si>
  <si>
    <t>Gerencia de Gestión Humana</t>
  </si>
  <si>
    <t>Gerencia General</t>
  </si>
  <si>
    <t>RIESGOS contraparte</t>
  </si>
  <si>
    <t>Deficiencias en identificación de cliente/contraparte.</t>
  </si>
  <si>
    <t>Inadecuado estudio financiero, contractual y seguimiento del comportamiento de contrapartes clientes y proveedores.</t>
  </si>
  <si>
    <t>Recibir Multas o sanciones por parte de las compañìaes de control</t>
  </si>
  <si>
    <t>Tener en La compañìa un empleado/colaborador involucrado en actividades de Lavado de Activos, Financiación del Terrorismo y proliferación de Armas</t>
  </si>
  <si>
    <t>contraparte / cliente</t>
  </si>
  <si>
    <t xml:space="preserve">Retoma de vehículos con procedencia de delitos de lavado de activos o financiación del terrorismo </t>
  </si>
  <si>
    <t>Inadecuados procedimientos de validación de antecedentes de vehículos</t>
  </si>
  <si>
    <t>Consulta RUNT</t>
  </si>
  <si>
    <t>La compañìa Estableció procedimientos del control de LAFT mediante la implementación del sistema de autocontrol y gestión SAGRILAFT de acuerdo con las normas de la Superintendencia de Sociedades.</t>
  </si>
  <si>
    <t>La compañìa consulta la tradición de los vehículos usados que retoma, El Certificado de Tradición es el único documento legalmente autorizado para conocer el estado de propiedad y la situación legal de un carro o moto</t>
  </si>
  <si>
    <t>Inadecuadas polìticas de separación de vehículos</t>
  </si>
  <si>
    <t xml:space="preserve">Formato de Vinculación </t>
  </si>
  <si>
    <t>La compañìa cuenta con un formato de vinculación de contrapartes el cual recauda los datos para su conocimiento y las autorizaciones y declaraciones de la contraparte.</t>
  </si>
  <si>
    <t>Clientes que separan vehiculos con abonos en efectivo y no regresan o regresan despues a deshacer el negocio</t>
  </si>
  <si>
    <t>Vinculación de contrapartes con identidad falsa</t>
  </si>
  <si>
    <t>Gestión Humana</t>
  </si>
  <si>
    <t>Gerencia Financiera y Contable</t>
  </si>
  <si>
    <t>Gerencia de Postventa</t>
  </si>
  <si>
    <t>Inadecuadas políticas de recepción de efectivo</t>
  </si>
  <si>
    <t>La asistente de gerencia  realiza validación de los datos  dejando evidencia de la atividad mediante firma y fecha</t>
  </si>
  <si>
    <t>La asistente de gerencia Valida en listas restrictivas (OFAC, ONU, Teroristas UE Terrorista USA y otras) a través de la herramienta Check ID,</t>
  </si>
  <si>
    <t>El funcionario comercial realiza visita o entrevista al cliente propectivo</t>
  </si>
  <si>
    <t>El cliente  y los accionistas deben debe diligenciar la declaración de origen de fondos</t>
  </si>
  <si>
    <t>Los colaboradores realizarán un reporte interno de operaciones inusuales en la medida que detecten movimientos que se salgan de la operatividad normal del cliente</t>
  </si>
  <si>
    <t>La información comercial de los  clientes se debe actualizar al menos una vez al año.</t>
  </si>
  <si>
    <t>Realizar debida diligencia a las personas catalogadas como Pep, diligenciando el formato respectivo.</t>
  </si>
  <si>
    <t>El area Contable y El Oficial de Cumplimiento realiza el envío de los informes a la UIAF, siguiendo los lineamientos establecidos en el manual de Gestión de Riesgo LAFT</t>
  </si>
  <si>
    <t>El lider de cuentas por pagar realiza debida diligencia a los proveedores de productos y servicios validando el diligenciamiento del formato de vinculación, validando soportes e información suministrada,</t>
  </si>
  <si>
    <t>Las operaciones en efectivo se encuentran restringidas por montos y se realizan unicamente en las compañíaes financieras</t>
  </si>
  <si>
    <t>Responder los requerimientos de las compañíaes de control de acuerdo con el procedimiento establecido</t>
  </si>
  <si>
    <t>La administración y los colaboradores de la compañía se comprometen a acatar las políticas y procedimientos del SAGRILAFT</t>
  </si>
  <si>
    <t>Estructuras societarias complejas o imposibilidad de establecer el beneficiario final.</t>
  </si>
  <si>
    <t>Inadecuados procesos de debida diligencia de ONG, UT, ESAL Gobierno Venezolano</t>
  </si>
  <si>
    <t>Beneficiarios finales de contrapartes y uniones temporales involucrados en delitos del LAFT</t>
  </si>
  <si>
    <t xml:space="preserve">Vinculación de clientes definidos de Riesgo Alto de LAFT </t>
  </si>
  <si>
    <t>Retoma de vehículos con procedencia de delitos de lavado de activos o financiación del terrorismo  u otros delitos</t>
  </si>
  <si>
    <t>Vinculación de contrapartes relacionados en delitos de Lavado de Activos, Financiación del Terrorismo y proliferación de Armas</t>
  </si>
  <si>
    <t>Declaración de prevención LAFT/ CST</t>
  </si>
  <si>
    <t>La contraparte debe firmar la Declaración de Prevención de Riesgo de lavado de activos y corrupción, donde manifiesta el origen legal de sus recursos</t>
  </si>
  <si>
    <t xml:space="preserve">Validación Oficial de Cumplimiento </t>
  </si>
  <si>
    <t>El Oficial de Cumplimiento realiza la validación de las contrapartes que presentan coincidencias en las listas restrictivas</t>
  </si>
  <si>
    <t>Debida Diligencia Intensificada</t>
  </si>
  <si>
    <t>MATRIZ DE GESTION DE RIESGOS SAGRILAFT</t>
  </si>
  <si>
    <t>Versión: 03</t>
  </si>
  <si>
    <t>Fecha: 30/08/2025</t>
  </si>
  <si>
    <t>Código: GE- FOR-07</t>
  </si>
  <si>
    <t>GESTIÓN ESTARTEGICA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</si>
</sst>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64" formatCode="0.0"/>
    <numFmt numFmtId="165" formatCode="mmmm\-yyyy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.1"/>
      <color rgb="FFFFFFFF"/>
      <name val="Calibri"/>
      <family val="2"/>
      <scheme val="minor"/>
    </font>
    <font>
      <sz val="11"/>
      <color theme="1"/>
      <name val="Century Gothic"/>
      <family val="2"/>
    </font>
    <font>
      <b/>
      <sz val="14"/>
      <color theme="1"/>
      <name val="Century Gothic"/>
      <family val="2"/>
    </font>
    <font>
      <b/>
      <sz val="13"/>
      <color theme="1"/>
      <name val="Century Gothic"/>
      <family val="2"/>
    </font>
    <font>
      <b/>
      <sz val="18"/>
      <color theme="1"/>
      <name val="Century Gothic"/>
      <family val="2"/>
    </font>
  </fonts>
  <fills count="5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90000"/>
        <bgColor indexed="64"/>
      </patternFill>
    </fill>
    <fill>
      <patternFill patternType="solid">
        <fgColor rgb="FF3300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21FF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 tint="0.249977111117893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2">
    <xf numFmtId="0" fontId="0" fillId="0" borderId="0" xfId="0"/>
    <xf numFmtId="0" fontId="0" fillId="0" borderId="0" xfId="0" applyAlignment="1">
      <alignment wrapText="1"/>
    </xf>
    <xf numFmtId="0" fontId="19" fillId="37" borderId="12" xfId="0" applyFont="1" applyFill="1" applyBorder="1" applyAlignment="1">
      <alignment horizontal="center" vertical="center"/>
    </xf>
    <xf numFmtId="0" fontId="19" fillId="38" borderId="12" xfId="0" applyFont="1" applyFill="1" applyBorder="1" applyAlignment="1">
      <alignment horizontal="center" vertical="center"/>
    </xf>
    <xf numFmtId="0" fontId="19" fillId="39" borderId="12" xfId="0" applyFont="1" applyFill="1" applyBorder="1" applyAlignment="1">
      <alignment horizontal="center" vertical="center"/>
    </xf>
    <xf numFmtId="0" fontId="19" fillId="40" borderId="13" xfId="0" applyFont="1" applyFill="1" applyBorder="1" applyAlignment="1">
      <alignment horizontal="center" vertical="center"/>
    </xf>
    <xf numFmtId="0" fontId="19" fillId="37" borderId="13" xfId="0" applyFont="1" applyFill="1" applyBorder="1" applyAlignment="1">
      <alignment horizontal="center" vertical="center"/>
    </xf>
    <xf numFmtId="0" fontId="19" fillId="38" borderId="13" xfId="0" applyFont="1" applyFill="1" applyBorder="1" applyAlignment="1">
      <alignment horizontal="center" vertical="center"/>
    </xf>
    <xf numFmtId="0" fontId="19" fillId="39" borderId="13" xfId="0" applyFont="1" applyFill="1" applyBorder="1" applyAlignment="1">
      <alignment horizontal="center" vertical="center"/>
    </xf>
    <xf numFmtId="0" fontId="19" fillId="41" borderId="13" xfId="0" applyFont="1" applyFill="1" applyBorder="1" applyAlignment="1">
      <alignment horizontal="center" vertical="center"/>
    </xf>
    <xf numFmtId="0" fontId="20" fillId="0" borderId="0" xfId="0" applyFont="1" applyAlignment="1">
      <alignment horizontal="center"/>
    </xf>
    <xf numFmtId="0" fontId="0" fillId="0" borderId="0" xfId="0" applyAlignment="1">
      <alignment horizontal="center"/>
    </xf>
    <xf numFmtId="41" fontId="0" fillId="0" borderId="0" xfId="42" applyFont="1"/>
    <xf numFmtId="1" fontId="0" fillId="0" borderId="0" xfId="0" applyNumberFormat="1"/>
    <xf numFmtId="0" fontId="16" fillId="0" borderId="0" xfId="0" applyFont="1" applyAlignment="1">
      <alignment horizontal="center"/>
    </xf>
    <xf numFmtId="0" fontId="25" fillId="0" borderId="11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5" fillId="0" borderId="10" xfId="0" applyFont="1" applyBorder="1" applyAlignment="1">
      <alignment vertical="center"/>
    </xf>
    <xf numFmtId="0" fontId="25" fillId="0" borderId="11" xfId="0" applyFont="1" applyBorder="1" applyAlignment="1">
      <alignment vertical="center"/>
    </xf>
    <xf numFmtId="0" fontId="16" fillId="0" borderId="0" xfId="0" applyFont="1"/>
    <xf numFmtId="0" fontId="16" fillId="0" borderId="20" xfId="0" applyFont="1" applyBorder="1" applyAlignment="1">
      <alignment vertical="top"/>
    </xf>
    <xf numFmtId="0" fontId="16" fillId="0" borderId="20" xfId="0" applyFont="1" applyBorder="1" applyAlignment="1">
      <alignment horizontal="center" vertical="top"/>
    </xf>
    <xf numFmtId="0" fontId="16" fillId="0" borderId="28" xfId="0" applyFont="1" applyBorder="1" applyAlignment="1">
      <alignment horizontal="center" vertical="top"/>
    </xf>
    <xf numFmtId="0" fontId="16" fillId="42" borderId="23" xfId="0" applyFont="1" applyFill="1" applyBorder="1" applyAlignment="1">
      <alignment horizontal="center" vertical="top"/>
    </xf>
    <xf numFmtId="0" fontId="16" fillId="37" borderId="20" xfId="0" applyFont="1" applyFill="1" applyBorder="1" applyAlignment="1">
      <alignment horizontal="center" vertical="top"/>
    </xf>
    <xf numFmtId="0" fontId="16" fillId="39" borderId="20" xfId="0" applyFont="1" applyFill="1" applyBorder="1" applyAlignment="1">
      <alignment horizontal="center" vertical="top"/>
    </xf>
    <xf numFmtId="0" fontId="13" fillId="44" borderId="20" xfId="0" applyFont="1" applyFill="1" applyBorder="1" applyAlignment="1">
      <alignment horizontal="center" vertical="top"/>
    </xf>
    <xf numFmtId="0" fontId="16" fillId="42" borderId="20" xfId="0" applyFont="1" applyFill="1" applyBorder="1" applyAlignment="1">
      <alignment horizontal="center" vertical="top"/>
    </xf>
    <xf numFmtId="0" fontId="16" fillId="38" borderId="20" xfId="0" applyFont="1" applyFill="1" applyBorder="1" applyAlignment="1">
      <alignment horizontal="center" vertical="top"/>
    </xf>
    <xf numFmtId="0" fontId="13" fillId="45" borderId="20" xfId="0" applyFont="1" applyFill="1" applyBorder="1" applyAlignment="1">
      <alignment horizontal="center" vertical="top"/>
    </xf>
    <xf numFmtId="0" fontId="0" fillId="0" borderId="31" xfId="0" applyBorder="1" applyAlignment="1">
      <alignment vertical="top" wrapText="1"/>
    </xf>
    <xf numFmtId="0" fontId="0" fillId="0" borderId="22" xfId="0" applyBorder="1" applyAlignment="1">
      <alignment vertical="top" wrapText="1"/>
    </xf>
    <xf numFmtId="0" fontId="16" fillId="0" borderId="23" xfId="0" applyFont="1" applyBorder="1" applyAlignment="1">
      <alignment horizontal="center" vertical="top"/>
    </xf>
    <xf numFmtId="0" fontId="16" fillId="44" borderId="20" xfId="0" applyFont="1" applyFill="1" applyBorder="1" applyAlignment="1">
      <alignment horizontal="center" vertical="top"/>
    </xf>
    <xf numFmtId="0" fontId="0" fillId="0" borderId="25" xfId="0" applyBorder="1" applyAlignment="1">
      <alignment vertical="top" wrapText="1"/>
    </xf>
    <xf numFmtId="0" fontId="16" fillId="0" borderId="0" xfId="0" applyFont="1" applyAlignment="1">
      <alignment horizontal="center" vertical="top"/>
    </xf>
    <xf numFmtId="0" fontId="0" fillId="0" borderId="27" xfId="0" applyBorder="1" applyAlignment="1">
      <alignment vertical="top" wrapText="1"/>
    </xf>
    <xf numFmtId="164" fontId="13" fillId="45" borderId="20" xfId="0" applyNumberFormat="1" applyFont="1" applyFill="1" applyBorder="1" applyAlignment="1">
      <alignment horizontal="center" vertical="top"/>
    </xf>
    <xf numFmtId="164" fontId="0" fillId="0" borderId="0" xfId="0" applyNumberFormat="1"/>
    <xf numFmtId="0" fontId="0" fillId="0" borderId="0" xfId="0" applyAlignment="1">
      <alignment horizontal="justify" vertical="center"/>
    </xf>
    <xf numFmtId="0" fontId="16" fillId="0" borderId="0" xfId="0" applyFont="1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1" fontId="0" fillId="0" borderId="0" xfId="42" applyFont="1" applyFill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9" fillId="37" borderId="13" xfId="0" applyFont="1" applyFill="1" applyBorder="1" applyAlignment="1">
      <alignment horizontal="center" vertical="center" wrapText="1"/>
    </xf>
    <xf numFmtId="14" fontId="19" fillId="41" borderId="13" xfId="0" applyNumberFormat="1" applyFont="1" applyFill="1" applyBorder="1" applyAlignment="1">
      <alignment horizontal="center" vertical="center"/>
    </xf>
    <xf numFmtId="0" fontId="19" fillId="40" borderId="13" xfId="0" applyFont="1" applyFill="1" applyBorder="1" applyAlignment="1">
      <alignment horizontal="center" vertical="center" wrapText="1"/>
    </xf>
    <xf numFmtId="9" fontId="0" fillId="0" borderId="0" xfId="43" applyFont="1" applyFill="1" applyAlignment="1">
      <alignment horizontal="center" vertical="center"/>
    </xf>
    <xf numFmtId="9" fontId="0" fillId="0" borderId="0" xfId="0" applyNumberFormat="1"/>
    <xf numFmtId="9" fontId="14" fillId="0" borderId="0" xfId="43" applyFont="1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9" fillId="38" borderId="12" xfId="0" applyFont="1" applyFill="1" applyBorder="1" applyAlignment="1">
      <alignment vertical="center"/>
    </xf>
    <xf numFmtId="0" fontId="19" fillId="37" borderId="13" xfId="0" applyFont="1" applyFill="1" applyBorder="1" applyAlignment="1">
      <alignment vertical="center"/>
    </xf>
    <xf numFmtId="0" fontId="19" fillId="40" borderId="13" xfId="0" applyFont="1" applyFill="1" applyBorder="1" applyAlignment="1">
      <alignment vertical="center"/>
    </xf>
    <xf numFmtId="0" fontId="19" fillId="37" borderId="12" xfId="0" applyFont="1" applyFill="1" applyBorder="1" applyAlignment="1">
      <alignment vertical="center"/>
    </xf>
    <xf numFmtId="0" fontId="19" fillId="39" borderId="12" xfId="0" applyFont="1" applyFill="1" applyBorder="1" applyAlignment="1">
      <alignment vertical="center"/>
    </xf>
    <xf numFmtId="0" fontId="19" fillId="41" borderId="13" xfId="0" applyFont="1" applyFill="1" applyBorder="1" applyAlignment="1">
      <alignment vertical="center"/>
    </xf>
    <xf numFmtId="0" fontId="19" fillId="40" borderId="12" xfId="0" applyFont="1" applyFill="1" applyBorder="1" applyAlignment="1">
      <alignment vertical="center"/>
    </xf>
    <xf numFmtId="0" fontId="0" fillId="46" borderId="0" xfId="0" applyFill="1"/>
    <xf numFmtId="0" fontId="0" fillId="46" borderId="0" xfId="0" applyFill="1" applyAlignment="1">
      <alignment horizontal="center"/>
    </xf>
    <xf numFmtId="0" fontId="0" fillId="46" borderId="0" xfId="0" applyFill="1" applyAlignment="1">
      <alignment horizontal="center" vertical="center"/>
    </xf>
    <xf numFmtId="0" fontId="19" fillId="39" borderId="12" xfId="0" applyFont="1" applyFill="1" applyBorder="1" applyAlignment="1">
      <alignment vertical="center" wrapText="1"/>
    </xf>
    <xf numFmtId="1" fontId="0" fillId="0" borderId="0" xfId="42" applyNumberFormat="1" applyFont="1" applyFill="1" applyAlignment="1">
      <alignment horizontal="center" vertical="center"/>
    </xf>
    <xf numFmtId="1" fontId="0" fillId="0" borderId="0" xfId="42" applyNumberFormat="1" applyFont="1" applyFill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19" fillId="47" borderId="12" xfId="0" applyFont="1" applyFill="1" applyBorder="1" applyAlignment="1">
      <alignment vertical="center"/>
    </xf>
    <xf numFmtId="0" fontId="27" fillId="33" borderId="0" xfId="0" applyFont="1" applyFill="1" applyAlignment="1">
      <alignment horizontal="center" vertical="center" wrapText="1"/>
    </xf>
    <xf numFmtId="0" fontId="27" fillId="34" borderId="0" xfId="0" applyFont="1" applyFill="1" applyAlignment="1">
      <alignment horizontal="center" vertical="center" wrapText="1"/>
    </xf>
    <xf numFmtId="0" fontId="27" fillId="46" borderId="0" xfId="0" applyFont="1" applyFill="1" applyAlignment="1">
      <alignment horizontal="center" vertical="center" wrapText="1"/>
    </xf>
    <xf numFmtId="0" fontId="27" fillId="43" borderId="0" xfId="0" applyFont="1" applyFill="1" applyAlignment="1">
      <alignment horizontal="center" vertical="center" wrapText="1"/>
    </xf>
    <xf numFmtId="0" fontId="27" fillId="36" borderId="0" xfId="0" applyFont="1" applyFill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7" fillId="35" borderId="0" xfId="0" applyFont="1" applyFill="1" applyAlignment="1">
      <alignment horizontal="center" vertical="center" wrapText="1"/>
    </xf>
    <xf numFmtId="0" fontId="0" fillId="0" borderId="28" xfId="0" applyBorder="1" applyAlignment="1">
      <alignment vertical="top" wrapText="1"/>
    </xf>
    <xf numFmtId="0" fontId="0" fillId="0" borderId="29" xfId="0" applyBorder="1" applyAlignment="1">
      <alignment vertical="top" wrapText="1"/>
    </xf>
    <xf numFmtId="0" fontId="0" fillId="48" borderId="0" xfId="0" applyFill="1"/>
    <xf numFmtId="0" fontId="0" fillId="48" borderId="0" xfId="0" applyFill="1" applyAlignment="1">
      <alignment wrapText="1"/>
    </xf>
    <xf numFmtId="0" fontId="0" fillId="48" borderId="0" xfId="0" applyFill="1" applyAlignment="1">
      <alignment horizontal="center"/>
    </xf>
    <xf numFmtId="17" fontId="0" fillId="0" borderId="0" xfId="0" applyNumberFormat="1"/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/>
    </xf>
    <xf numFmtId="0" fontId="16" fillId="46" borderId="0" xfId="0" applyFont="1" applyFill="1"/>
    <xf numFmtId="0" fontId="22" fillId="46" borderId="0" xfId="0" applyFont="1" applyFill="1"/>
    <xf numFmtId="0" fontId="21" fillId="46" borderId="0" xfId="0" applyFont="1" applyFill="1"/>
    <xf numFmtId="0" fontId="14" fillId="46" borderId="0" xfId="0" applyFont="1" applyFill="1"/>
    <xf numFmtId="0" fontId="16" fillId="0" borderId="20" xfId="0" applyFont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6" xfId="0" applyBorder="1" applyAlignment="1">
      <alignment vertical="center"/>
    </xf>
    <xf numFmtId="0" fontId="13" fillId="49" borderId="0" xfId="0" applyFont="1" applyFill="1" applyAlignment="1">
      <alignment wrapText="1"/>
    </xf>
    <xf numFmtId="0" fontId="13" fillId="49" borderId="0" xfId="0" applyFont="1" applyFill="1"/>
    <xf numFmtId="0" fontId="28" fillId="0" borderId="0" xfId="0" applyFont="1" applyAlignment="1">
      <alignment wrapText="1"/>
    </xf>
    <xf numFmtId="0" fontId="0" fillId="0" borderId="20" xfId="0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0" fillId="46" borderId="20" xfId="0" applyFill="1" applyBorder="1" applyAlignment="1">
      <alignment horizontal="center" vertical="center"/>
    </xf>
    <xf numFmtId="41" fontId="0" fillId="0" borderId="20" xfId="42" applyFont="1" applyFill="1" applyBorder="1" applyAlignment="1">
      <alignment horizontal="center" vertical="center"/>
    </xf>
    <xf numFmtId="0" fontId="0" fillId="0" borderId="20" xfId="42" applyNumberFormat="1" applyFont="1" applyFill="1" applyBorder="1" applyAlignment="1">
      <alignment horizontal="center" vertical="center"/>
    </xf>
    <xf numFmtId="9" fontId="14" fillId="0" borderId="20" xfId="43" applyFont="1" applyFill="1" applyBorder="1" applyAlignment="1">
      <alignment horizontal="center" vertical="center"/>
    </xf>
    <xf numFmtId="9" fontId="0" fillId="0" borderId="20" xfId="43" applyFont="1" applyFill="1" applyBorder="1" applyAlignment="1">
      <alignment horizontal="center" vertical="center"/>
    </xf>
    <xf numFmtId="0" fontId="30" fillId="0" borderId="20" xfId="0" applyFont="1" applyBorder="1" applyAlignment="1">
      <alignment horizontal="center" vertical="center" wrapText="1"/>
    </xf>
    <xf numFmtId="0" fontId="31" fillId="0" borderId="20" xfId="0" applyFont="1" applyBorder="1" applyAlignment="1">
      <alignment horizontal="center" vertical="center" wrapText="1"/>
    </xf>
    <xf numFmtId="165" fontId="30" fillId="0" borderId="20" xfId="0" applyNumberFormat="1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wrapText="1"/>
    </xf>
    <xf numFmtId="0" fontId="29" fillId="0" borderId="20" xfId="0" applyFont="1" applyBorder="1" applyAlignment="1">
      <alignment horizontal="center" vertical="center" wrapText="1"/>
    </xf>
    <xf numFmtId="0" fontId="26" fillId="46" borderId="0" xfId="0" applyFont="1" applyFill="1" applyAlignment="1">
      <alignment horizontal="left" vertical="center" wrapText="1"/>
    </xf>
    <xf numFmtId="0" fontId="16" fillId="0" borderId="20" xfId="0" applyFont="1" applyBorder="1" applyAlignment="1">
      <alignment horizontal="center"/>
    </xf>
    <xf numFmtId="0" fontId="16" fillId="0" borderId="32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0" borderId="21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0" fillId="46" borderId="0" xfId="0" applyFill="1" applyAlignment="1">
      <alignment horizontal="center"/>
    </xf>
    <xf numFmtId="0" fontId="18" fillId="0" borderId="14" xfId="0" applyFont="1" applyBorder="1" applyAlignment="1">
      <alignment horizontal="center" vertical="center" textRotation="90"/>
    </xf>
    <xf numFmtId="0" fontId="18" fillId="0" borderId="15" xfId="0" applyFont="1" applyBorder="1" applyAlignment="1">
      <alignment horizontal="center" vertical="center" textRotation="90"/>
    </xf>
    <xf numFmtId="0" fontId="18" fillId="0" borderId="16" xfId="0" applyFont="1" applyBorder="1" applyAlignment="1">
      <alignment horizontal="center" vertical="center" textRotation="90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[0]" xfId="42" builtinId="6"/>
    <cellStyle name="Neutral" xfId="8" builtinId="28" customBuiltin="1"/>
    <cellStyle name="Normal" xfId="0" builtinId="0"/>
    <cellStyle name="Notas" xfId="15" builtinId="10" customBuiltin="1"/>
    <cellStyle name="Porcentaje" xfId="43" builtinId="5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46">
    <dxf>
      <fill>
        <patternFill>
          <bgColor rgb="FFFF0000"/>
        </patternFill>
      </fill>
    </dxf>
    <dxf>
      <fill>
        <patternFill>
          <bgColor rgb="FFFB6725"/>
        </patternFill>
      </fill>
    </dxf>
    <dxf>
      <fill>
        <patternFill>
          <bgColor rgb="FFFFFF00"/>
        </patternFill>
      </fill>
    </dxf>
    <dxf>
      <fill>
        <patternFill>
          <bgColor rgb="FF33ED6D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9F3F"/>
        </patternFill>
      </fill>
    </dxf>
    <dxf>
      <fill>
        <patternFill>
          <bgColor rgb="FFFFFF00"/>
        </patternFill>
      </fill>
    </dxf>
    <dxf>
      <fill>
        <patternFill>
          <bgColor rgb="FF36EA47"/>
        </patternFill>
      </fill>
    </dxf>
    <dxf>
      <fill>
        <patternFill>
          <bgColor rgb="FF00B050"/>
        </patternFill>
      </fill>
    </dxf>
    <dxf>
      <fill>
        <patternFill>
          <bgColor rgb="FF40E838"/>
        </patternFill>
      </fill>
    </dxf>
    <dxf>
      <fill>
        <patternFill>
          <bgColor rgb="FF3BF32D"/>
        </patternFill>
      </fill>
    </dxf>
    <dxf>
      <fill>
        <patternFill>
          <bgColor rgb="FFFFFF00"/>
        </patternFill>
      </fill>
    </dxf>
    <dxf>
      <fill>
        <patternFill>
          <bgColor rgb="FFFC762C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D8603"/>
        </patternFill>
      </fill>
    </dxf>
    <dxf>
      <fill>
        <patternFill>
          <bgColor rgb="FFFFFF00"/>
        </patternFill>
      </fill>
    </dxf>
    <dxf>
      <fill>
        <patternFill>
          <bgColor rgb="FF64F289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C762C"/>
        </patternFill>
      </fill>
    </dxf>
    <dxf>
      <fill>
        <patternFill>
          <bgColor rgb="FFFFFF00"/>
        </patternFill>
      </fill>
    </dxf>
    <dxf>
      <fill>
        <patternFill>
          <bgColor rgb="FF64F289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D8603"/>
        </patternFill>
      </fill>
    </dxf>
    <dxf>
      <fill>
        <patternFill>
          <bgColor rgb="FFFFFF00"/>
        </patternFill>
      </fill>
    </dxf>
    <dxf>
      <fill>
        <patternFill>
          <bgColor rgb="FF3BF32D"/>
        </patternFill>
      </fill>
    </dxf>
    <dxf>
      <fill>
        <patternFill>
          <bgColor rgb="FF00B050"/>
        </patternFill>
      </fill>
    </dxf>
    <dxf>
      <fill>
        <patternFill>
          <bgColor rgb="FFFD8603"/>
        </patternFill>
      </fill>
    </dxf>
    <dxf>
      <font>
        <b val="0"/>
        <i val="0"/>
      </font>
      <fill>
        <patternFill>
          <bgColor rgb="FFFFFF00"/>
        </patternFill>
      </fill>
    </dxf>
    <dxf>
      <fill>
        <patternFill>
          <bgColor rgb="FF3BF32D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3BF32D"/>
        </patternFill>
      </fill>
    </dxf>
    <dxf>
      <fill>
        <patternFill>
          <bgColor rgb="FFFFFF00"/>
        </patternFill>
      </fill>
    </dxf>
    <dxf>
      <fill>
        <patternFill>
          <bgColor rgb="FFFD860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3BF32D"/>
        </patternFill>
      </fill>
    </dxf>
    <dxf>
      <fill>
        <patternFill>
          <bgColor rgb="FFFFFF00"/>
        </patternFill>
      </fill>
    </dxf>
    <dxf>
      <fill>
        <patternFill>
          <bgColor rgb="FFFD8603"/>
        </patternFill>
      </fill>
    </dxf>
  </dxfs>
  <tableStyles count="0" defaultTableStyle="TableStyleMedium2" defaultPivotStyle="PivotStyleLight16"/>
  <colors>
    <mruColors>
      <color rgb="FF21FF85"/>
      <color rgb="FF3BF32D"/>
      <color rgb="FFFD8603"/>
      <color rgb="FF40E838"/>
      <color rgb="FF33ED6D"/>
      <color rgb="FFFB6725"/>
      <color rgb="FFFF9F3F"/>
      <color rgb="FF36EA47"/>
      <color rgb="FFFC4B04"/>
      <color rgb="FF64F2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microsoft.com/office/2017/06/relationships/rdRichValueStructure" Target="richData/rdrichvaluestructur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06/relationships/rdRichValue" Target="richData/rdrichvalue.xml"/><Relationship Id="rId5" Type="http://schemas.openxmlformats.org/officeDocument/2006/relationships/externalLink" Target="externalLinks/externalLink1.xml"/><Relationship Id="rId10" Type="http://schemas.microsoft.com/office/2022/10/relationships/richValueRel" Target="richData/richValueRel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Entradas!$N$2</c:f>
              <c:strCache>
                <c:ptCount val="1"/>
                <c:pt idx="0">
                  <c:v>Riesgo Inherente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1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Entradas!$O$1:$Q$1</c:f>
              <c:numCache>
                <c:formatCode>mmm\-yy</c:formatCode>
                <c:ptCount val="3"/>
                <c:pt idx="0">
                  <c:v>43800</c:v>
                </c:pt>
                <c:pt idx="1">
                  <c:v>43983</c:v>
                </c:pt>
                <c:pt idx="2">
                  <c:v>44013</c:v>
                </c:pt>
              </c:numCache>
            </c:numRef>
          </c:cat>
          <c:val>
            <c:numRef>
              <c:f>Entradas!$O$2:$Q$2</c:f>
              <c:numCache>
                <c:formatCode>General</c:formatCode>
                <c:ptCount val="3"/>
                <c:pt idx="0">
                  <c:v>8</c:v>
                </c:pt>
                <c:pt idx="1">
                  <c:v>6.8</c:v>
                </c:pt>
                <c:pt idx="2">
                  <c:v>6.02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BB-4990-983A-A18F705C7DA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835233184"/>
        <c:axId val="1835233728"/>
      </c:lineChart>
      <c:dateAx>
        <c:axId val="1835233184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35233728"/>
        <c:crosses val="autoZero"/>
        <c:auto val="1"/>
        <c:lblOffset val="100"/>
        <c:baseTimeUnit val="months"/>
      </c:dateAx>
      <c:valAx>
        <c:axId val="183523372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835233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Entradas!$N$6</c:f>
              <c:strCache>
                <c:ptCount val="1"/>
                <c:pt idx="0">
                  <c:v>Riesgo Residual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1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Entradas!$O$5:$Q$5</c:f>
              <c:numCache>
                <c:formatCode>mmm\-yy</c:formatCode>
                <c:ptCount val="3"/>
                <c:pt idx="0">
                  <c:v>43800</c:v>
                </c:pt>
                <c:pt idx="1">
                  <c:v>43983</c:v>
                </c:pt>
                <c:pt idx="2">
                  <c:v>44013</c:v>
                </c:pt>
              </c:numCache>
            </c:numRef>
          </c:cat>
          <c:val>
            <c:numRef>
              <c:f>Entradas!$O$6:$Q$6</c:f>
              <c:numCache>
                <c:formatCode>General</c:formatCode>
                <c:ptCount val="3"/>
                <c:pt idx="0">
                  <c:v>3</c:v>
                </c:pt>
                <c:pt idx="1">
                  <c:v>2.75</c:v>
                </c:pt>
                <c:pt idx="2">
                  <c:v>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E7-4C48-A034-586529FC207A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835236992"/>
        <c:axId val="1835235904"/>
      </c:lineChart>
      <c:dateAx>
        <c:axId val="1835236992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35235904"/>
        <c:crosses val="autoZero"/>
        <c:auto val="1"/>
        <c:lblOffset val="100"/>
        <c:baseTimeUnit val="months"/>
      </c:dateAx>
      <c:valAx>
        <c:axId val="1835235904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835236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Evolución</a:t>
            </a:r>
            <a:r>
              <a:rPr lang="es-ES" baseline="0"/>
              <a:t> del Riesgo</a:t>
            </a:r>
            <a:endParaRPr lang="es-E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Entradas!$N$11</c:f>
              <c:strCache>
                <c:ptCount val="1"/>
                <c:pt idx="0">
                  <c:v>Riesgo Inherente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1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Entradas!$O$10:$Q$10</c:f>
              <c:numCache>
                <c:formatCode>mmm\-yy</c:formatCode>
                <c:ptCount val="3"/>
                <c:pt idx="0">
                  <c:v>43800</c:v>
                </c:pt>
                <c:pt idx="1">
                  <c:v>43983</c:v>
                </c:pt>
                <c:pt idx="2">
                  <c:v>44013</c:v>
                </c:pt>
              </c:numCache>
            </c:numRef>
          </c:cat>
          <c:val>
            <c:numRef>
              <c:f>Entradas!$O$11:$Q$11</c:f>
              <c:numCache>
                <c:formatCode>General</c:formatCode>
                <c:ptCount val="3"/>
                <c:pt idx="0">
                  <c:v>8</c:v>
                </c:pt>
                <c:pt idx="1">
                  <c:v>6.8</c:v>
                </c:pt>
                <c:pt idx="2">
                  <c:v>6.02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A88-4ABD-88DA-CC33391B3B01}"/>
            </c:ext>
          </c:extLst>
        </c:ser>
        <c:ser>
          <c:idx val="1"/>
          <c:order val="1"/>
          <c:tx>
            <c:strRef>
              <c:f>Entradas!$N$12</c:f>
              <c:strCache>
                <c:ptCount val="1"/>
                <c:pt idx="0">
                  <c:v>Riesgo Residual</c:v>
                </c:pt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2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Entradas!$O$10:$Q$10</c:f>
              <c:numCache>
                <c:formatCode>mmm\-yy</c:formatCode>
                <c:ptCount val="3"/>
                <c:pt idx="0">
                  <c:v>43800</c:v>
                </c:pt>
                <c:pt idx="1">
                  <c:v>43983</c:v>
                </c:pt>
                <c:pt idx="2">
                  <c:v>44013</c:v>
                </c:pt>
              </c:numCache>
            </c:numRef>
          </c:cat>
          <c:val>
            <c:numRef>
              <c:f>Entradas!$O$12:$Q$12</c:f>
              <c:numCache>
                <c:formatCode>General</c:formatCode>
                <c:ptCount val="3"/>
                <c:pt idx="0">
                  <c:v>3</c:v>
                </c:pt>
                <c:pt idx="1">
                  <c:v>2.75</c:v>
                </c:pt>
                <c:pt idx="2">
                  <c:v>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A88-4ABD-88DA-CC33391B3B01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975503424"/>
        <c:axId val="1975504512"/>
      </c:lineChart>
      <c:dateAx>
        <c:axId val="1975503424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75504512"/>
        <c:crosses val="autoZero"/>
        <c:auto val="1"/>
        <c:lblOffset val="100"/>
        <c:baseTimeUnit val="months"/>
      </c:dateAx>
      <c:valAx>
        <c:axId val="1975504512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9755034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55245</xdr:colOff>
      <xdr:row>0</xdr:row>
      <xdr:rowOff>938667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9386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666750</xdr:colOff>
      <xdr:row>0</xdr:row>
      <xdr:rowOff>0</xdr:rowOff>
    </xdr:from>
    <xdr:to>
      <xdr:col>23</xdr:col>
      <xdr:colOff>666750</xdr:colOff>
      <xdr:row>8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676275</xdr:colOff>
      <xdr:row>8</xdr:row>
      <xdr:rowOff>157162</xdr:rowOff>
    </xdr:from>
    <xdr:to>
      <xdr:col>23</xdr:col>
      <xdr:colOff>676275</xdr:colOff>
      <xdr:row>17</xdr:row>
      <xdr:rowOff>42862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600075</xdr:colOff>
      <xdr:row>17</xdr:row>
      <xdr:rowOff>147637</xdr:rowOff>
    </xdr:from>
    <xdr:to>
      <xdr:col>23</xdr:col>
      <xdr:colOff>600075</xdr:colOff>
      <xdr:row>32</xdr:row>
      <xdr:rowOff>33337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fernando\OneDrive\OPCION%20INTEGRAL%20CONSULTORES\CLIENTES%20CUMPLIMIENTO\Cumplimiento%20Toyonorte%2008\Matriz%20de%20Riesgo%20SAGRILAFT%20TOYONORTE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s"/>
    </sheetNames>
    <sheetDataSet>
      <sheetData sheetId="0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K52"/>
  <sheetViews>
    <sheetView showGridLines="0" tabSelected="1" workbookViewId="0">
      <selection activeCell="F5" sqref="F5"/>
    </sheetView>
  </sheetViews>
  <sheetFormatPr baseColWidth="10" defaultRowHeight="30.75" customHeight="1" x14ac:dyDescent="0.3"/>
  <cols>
    <col min="1" max="1" width="4.21875" customWidth="1"/>
    <col min="2" max="2" width="18.21875" customWidth="1"/>
    <col min="3" max="3" width="48.33203125" style="1" customWidth="1"/>
    <col min="4" max="4" width="46.77734375" style="1" customWidth="1"/>
    <col min="5" max="5" width="12.5546875" bestFit="1" customWidth="1"/>
    <col min="6" max="6" width="17.77734375" style="1" customWidth="1"/>
    <col min="7" max="7" width="13.21875" style="11" customWidth="1"/>
    <col min="8" max="8" width="10.21875" style="11" bestFit="1" customWidth="1"/>
    <col min="9" max="9" width="1" style="62" customWidth="1"/>
    <col min="10" max="10" width="11.44140625" customWidth="1"/>
    <col min="11" max="11" width="10.21875" style="11" bestFit="1" customWidth="1"/>
    <col min="12" max="12" width="1" style="11" customWidth="1"/>
    <col min="13" max="13" width="11.44140625" style="11" customWidth="1"/>
    <col min="14" max="14" width="18.21875" style="1" customWidth="1"/>
    <col min="15" max="15" width="19.5546875" style="1" customWidth="1"/>
    <col min="16" max="16" width="20.21875" style="1" customWidth="1"/>
    <col min="17" max="17" width="21.77734375" bestFit="1" customWidth="1"/>
    <col min="18" max="19" width="8.21875" hidden="1" customWidth="1"/>
    <col min="20" max="20" width="8" hidden="1" customWidth="1"/>
    <col min="21" max="21" width="11.44140625" customWidth="1"/>
    <col min="22" max="22" width="1.77734375" customWidth="1"/>
    <col min="23" max="23" width="10.21875" hidden="1" customWidth="1"/>
    <col min="24" max="24" width="13" hidden="1" customWidth="1"/>
    <col min="25" max="26" width="11.44140625" hidden="1" customWidth="1"/>
    <col min="27" max="27" width="2" hidden="1" customWidth="1"/>
    <col min="28" max="28" width="9.44140625" hidden="1" customWidth="1"/>
    <col min="29" max="29" width="7" hidden="1" customWidth="1"/>
    <col min="30" max="30" width="11.44140625" hidden="1" customWidth="1"/>
    <col min="31" max="31" width="7.44140625" style="61" hidden="1" customWidth="1"/>
    <col min="32" max="32" width="2.21875" customWidth="1"/>
  </cols>
  <sheetData>
    <row r="1" spans="1:37" s="94" customFormat="1" ht="30" customHeight="1" x14ac:dyDescent="0.25">
      <c r="A1" s="106" t="e" vm="1">
        <v>#VALUE!</v>
      </c>
      <c r="B1" s="106"/>
      <c r="C1" s="106"/>
      <c r="D1" s="107" t="s">
        <v>198</v>
      </c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3" t="s">
        <v>197</v>
      </c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</row>
    <row r="2" spans="1:37" s="94" customFormat="1" ht="30" customHeight="1" x14ac:dyDescent="0.25">
      <c r="A2" s="106"/>
      <c r="B2" s="106"/>
      <c r="C2" s="106"/>
      <c r="D2" s="104" t="s">
        <v>194</v>
      </c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3" t="s">
        <v>195</v>
      </c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</row>
    <row r="3" spans="1:37" s="94" customFormat="1" ht="30" customHeight="1" x14ac:dyDescent="0.25">
      <c r="A3" s="106"/>
      <c r="B3" s="106"/>
      <c r="C3" s="106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5" t="s">
        <v>196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94">
        <f>SUMIF(AH6:AH51,"&gt;0")</f>
        <v>0</v>
      </c>
      <c r="AJ3" s="94">
        <f>COUNTIF(AH6:AH51,"&gt;0")</f>
        <v>0</v>
      </c>
    </row>
    <row r="4" spans="1:37" ht="30" customHeight="1" x14ac:dyDescent="0.3">
      <c r="B4">
        <f>COUNTA(B6:B51)</f>
        <v>22</v>
      </c>
      <c r="I4" s="11"/>
      <c r="M4" s="11">
        <f>SUBTOTAL(101,M6:M21)</f>
        <v>6.1875</v>
      </c>
      <c r="U4" s="50">
        <f>AVERAGE(U6:U21)</f>
        <v>0.47645833333333332</v>
      </c>
      <c r="V4" s="40"/>
      <c r="AE4" s="40" t="s">
        <v>117</v>
      </c>
      <c r="AG4" s="13">
        <f>ROUND(AG3,0)</f>
        <v>0</v>
      </c>
    </row>
    <row r="5" spans="1:37" s="45" customFormat="1" ht="30" customHeight="1" x14ac:dyDescent="0.3">
      <c r="A5" s="69" t="s">
        <v>32</v>
      </c>
      <c r="B5" s="69" t="s">
        <v>28</v>
      </c>
      <c r="C5" s="69" t="s">
        <v>0</v>
      </c>
      <c r="D5" s="69" t="s">
        <v>1</v>
      </c>
      <c r="E5" s="69" t="s">
        <v>2</v>
      </c>
      <c r="F5" s="69" t="s">
        <v>3</v>
      </c>
      <c r="G5" s="70" t="s">
        <v>4</v>
      </c>
      <c r="H5" s="70" t="s">
        <v>41</v>
      </c>
      <c r="I5" s="71"/>
      <c r="J5" s="70" t="s">
        <v>5</v>
      </c>
      <c r="K5" s="70" t="s">
        <v>41</v>
      </c>
      <c r="L5" s="71"/>
      <c r="M5" s="72" t="s">
        <v>6</v>
      </c>
      <c r="N5" s="73" t="s">
        <v>77</v>
      </c>
      <c r="O5" s="73" t="s">
        <v>78</v>
      </c>
      <c r="P5" s="73" t="s">
        <v>79</v>
      </c>
      <c r="Q5" s="73" t="s">
        <v>7</v>
      </c>
      <c r="R5" s="73"/>
      <c r="S5" s="73"/>
      <c r="T5" s="73"/>
      <c r="U5" s="73" t="s">
        <v>8</v>
      </c>
      <c r="V5" s="74"/>
      <c r="W5" s="70" t="s">
        <v>85</v>
      </c>
      <c r="X5" s="70" t="s">
        <v>86</v>
      </c>
      <c r="Y5" s="70" t="s">
        <v>123</v>
      </c>
      <c r="Z5" s="70" t="s">
        <v>123</v>
      </c>
      <c r="AA5" s="74"/>
      <c r="AB5" s="70" t="s">
        <v>87</v>
      </c>
      <c r="AC5" s="70" t="s">
        <v>88</v>
      </c>
      <c r="AD5" s="70" t="s">
        <v>124</v>
      </c>
      <c r="AE5" s="70" t="s">
        <v>124</v>
      </c>
      <c r="AF5" s="74"/>
      <c r="AG5" s="75" t="s">
        <v>9</v>
      </c>
    </row>
    <row r="6" spans="1:37" s="41" customFormat="1" ht="30" customHeight="1" x14ac:dyDescent="0.3">
      <c r="A6" s="95">
        <v>1</v>
      </c>
      <c r="B6" s="96" t="s">
        <v>148</v>
      </c>
      <c r="C6" s="96" t="s">
        <v>166</v>
      </c>
      <c r="D6" s="96" t="s">
        <v>152</v>
      </c>
      <c r="E6" s="95" t="s">
        <v>19</v>
      </c>
      <c r="F6" s="96" t="s">
        <v>156</v>
      </c>
      <c r="G6" s="97" t="s">
        <v>14</v>
      </c>
      <c r="H6" s="95">
        <f>IF(G6="Raro",1,IF(G6="Poco Probable",2,IF(G6="Posible",3,IF(G6="Muy Probable",4,IF(G6="Casi seguro",5," ")))))</f>
        <v>3</v>
      </c>
      <c r="I6" s="98"/>
      <c r="J6" s="97" t="s">
        <v>39</v>
      </c>
      <c r="K6" s="95">
        <f>IF(J6="Muy Bajo",1,IF(J6="Bajo",2,IF(J6="Medio",3,IF(J6="Alto",4,IF(J6="Muy Alto",5," ")))))</f>
        <v>2</v>
      </c>
      <c r="L6" s="95"/>
      <c r="M6" s="95">
        <f>IFERROR(+H6*K6," ")</f>
        <v>6</v>
      </c>
      <c r="N6" s="96" t="s">
        <v>163</v>
      </c>
      <c r="O6" s="96" t="s">
        <v>90</v>
      </c>
      <c r="P6" s="96" t="s">
        <v>82</v>
      </c>
      <c r="Q6" s="96" t="s">
        <v>33</v>
      </c>
      <c r="R6" s="99">
        <f>IFERROR(VLOOKUP(N6,'Calificación Controles'!$B$8:$AB$37,27,0)," ")</f>
        <v>76.5</v>
      </c>
      <c r="S6" s="99">
        <f>IFERROR(VLOOKUP(O6,'Calificación Controles'!$B$8:$AB$37,27,0)," ")</f>
        <v>76.5</v>
      </c>
      <c r="T6" s="100">
        <v>0</v>
      </c>
      <c r="U6" s="101">
        <f t="shared" ref="U6:U51" si="0">IFERROR(((R6+S6+T6)/3)/100," ")</f>
        <v>0.51</v>
      </c>
      <c r="V6" s="51"/>
      <c r="W6" s="53">
        <f>IFERROR(IF(Q6="PROBABILIDAD",H6-(H6*U6),H6), " ")</f>
        <v>1.47</v>
      </c>
      <c r="X6" s="53">
        <f>IFERROR(IF(Q6="PROBABILIDAD E IMPACTO",H6*U6,0), " ")</f>
        <v>0</v>
      </c>
      <c r="Y6" s="65">
        <f>IFERROR(+W6-X6, " ")</f>
        <v>1.47</v>
      </c>
      <c r="Z6" s="66">
        <f t="shared" ref="Z6:Z26" si="1">IFERROR(ROUND(IF(Y6&lt;=1,1,IF(Y6&gt;1,Y6," ")),0)," ")</f>
        <v>1</v>
      </c>
      <c r="AA6" s="66"/>
      <c r="AB6" s="66">
        <f>IFERROR(IF(Q6="IMPACTO",K6-(K6*U6),K6), " ")</f>
        <v>2</v>
      </c>
      <c r="AC6" s="67">
        <f>IFERROR(IF(Q6="PROBABILIDAD E IMPACTO",K6*U6,0)," ")</f>
        <v>0</v>
      </c>
      <c r="AD6" s="66">
        <f>IFERROR(+AB6-AC6," ")</f>
        <v>2</v>
      </c>
      <c r="AE6" s="66">
        <f>IFERROR(ROUND(IF(AD6&lt;=1,1,IF(AD6&gt;1,AD6," ")),0)," ")</f>
        <v>2</v>
      </c>
      <c r="AF6" s="66"/>
      <c r="AG6" s="67">
        <f>IFERROR(ROUNDUP(+Z6*AE6,0),0)</f>
        <v>2</v>
      </c>
    </row>
    <row r="7" spans="1:37" s="41" customFormat="1" ht="30.75" customHeight="1" x14ac:dyDescent="0.3">
      <c r="A7" s="95">
        <f>A6+1</f>
        <v>2</v>
      </c>
      <c r="B7" s="96" t="s">
        <v>149</v>
      </c>
      <c r="C7" s="96" t="s">
        <v>166</v>
      </c>
      <c r="D7" s="96" t="s">
        <v>111</v>
      </c>
      <c r="E7" s="95" t="s">
        <v>19</v>
      </c>
      <c r="F7" s="96" t="s">
        <v>156</v>
      </c>
      <c r="G7" s="97" t="s">
        <v>14</v>
      </c>
      <c r="H7" s="95">
        <f t="shared" ref="H7:H51" si="2">IF(G7="Raro",1,IF(G7="Poco Probable",2,IF(G7="Posible",3,IF(G7="Muy Probable",4,IF(G7="Casi seguro",5," ")))))</f>
        <v>3</v>
      </c>
      <c r="I7" s="98"/>
      <c r="J7" s="97" t="s">
        <v>39</v>
      </c>
      <c r="K7" s="95">
        <f t="shared" ref="K7:K51" si="3">IF(J7="Muy Bajo",1,IF(J7="Bajo",2,IF(J7="Medio",3,IF(J7="Alto",4,IF(J7="Muy Alto",5," ")))))</f>
        <v>2</v>
      </c>
      <c r="L7" s="95"/>
      <c r="M7" s="95">
        <f>IFERROR(+H7*K7," ")</f>
        <v>6</v>
      </c>
      <c r="N7" s="96" t="s">
        <v>163</v>
      </c>
      <c r="O7" s="96" t="s">
        <v>90</v>
      </c>
      <c r="P7" s="96" t="s">
        <v>82</v>
      </c>
      <c r="Q7" s="96" t="s">
        <v>33</v>
      </c>
      <c r="R7" s="99">
        <f>IFERROR(VLOOKUP(N7,'Calificación Controles'!$B$8:$AB$37,27,0)," ")</f>
        <v>76.5</v>
      </c>
      <c r="S7" s="99">
        <f>IFERROR(VLOOKUP(O7,'Calificación Controles'!$B$8:$AB$37,27,0)," ")</f>
        <v>76.5</v>
      </c>
      <c r="T7" s="100">
        <v>0</v>
      </c>
      <c r="U7" s="101">
        <f t="shared" si="0"/>
        <v>0.51</v>
      </c>
      <c r="V7" s="51"/>
      <c r="W7" s="53">
        <f t="shared" ref="W7:W51" si="4">IFERROR(IF(Q7="PROBABILIDAD",H7-(H7*U7),H7), " ")</f>
        <v>1.47</v>
      </c>
      <c r="X7" s="53">
        <f t="shared" ref="X7:X51" si="5">IFERROR(IF(Q7="PROBABILIDAD E IMPACTO",H7*U7,0), " ")</f>
        <v>0</v>
      </c>
      <c r="Y7" s="65">
        <f t="shared" ref="Y7:Y51" si="6">IFERROR(+W7-X7, " ")</f>
        <v>1.47</v>
      </c>
      <c r="Z7" s="66">
        <f t="shared" si="1"/>
        <v>1</v>
      </c>
      <c r="AA7" s="66"/>
      <c r="AB7" s="66">
        <f t="shared" ref="AB7:AB51" si="7">IFERROR(IF(Q7="IMPACTO",K7-(K7*U7),K7), " ")</f>
        <v>2</v>
      </c>
      <c r="AC7" s="67">
        <f t="shared" ref="AC7:AC51" si="8">IFERROR(IF(Q7="PROBABILIDAD E IMPACTO",K7*U7,0)," ")</f>
        <v>0</v>
      </c>
      <c r="AD7" s="66">
        <f t="shared" ref="AD7:AD51" si="9">IFERROR(+AB7-AC7," ")</f>
        <v>2</v>
      </c>
      <c r="AE7" s="66">
        <f t="shared" ref="AE7:AE33" si="10">IFERROR(ROUND(IF(AD7&lt;=1,1,IF(AD7&gt;1,AD7," ")),0)," ")</f>
        <v>2</v>
      </c>
      <c r="AF7" s="66"/>
      <c r="AG7" s="67">
        <f t="shared" ref="AG7:AG51" si="11">IFERROR(ROUNDUP(+Z7*AE7,0),0)</f>
        <v>2</v>
      </c>
    </row>
    <row r="8" spans="1:37" s="41" customFormat="1" ht="30.75" customHeight="1" x14ac:dyDescent="0.3">
      <c r="A8" s="95">
        <f t="shared" ref="A8:A51" si="12">A7+1</f>
        <v>3</v>
      </c>
      <c r="B8" s="96" t="s">
        <v>168</v>
      </c>
      <c r="C8" s="96" t="s">
        <v>166</v>
      </c>
      <c r="D8" s="96" t="s">
        <v>112</v>
      </c>
      <c r="E8" s="95" t="s">
        <v>10</v>
      </c>
      <c r="F8" s="96" t="s">
        <v>156</v>
      </c>
      <c r="G8" s="97" t="s">
        <v>14</v>
      </c>
      <c r="H8" s="95">
        <f t="shared" si="2"/>
        <v>3</v>
      </c>
      <c r="I8" s="98"/>
      <c r="J8" s="97" t="s">
        <v>38</v>
      </c>
      <c r="K8" s="95">
        <f t="shared" si="3"/>
        <v>3</v>
      </c>
      <c r="L8" s="95"/>
      <c r="M8" s="95">
        <f>IFERROR(+H8*K8," ")</f>
        <v>9</v>
      </c>
      <c r="N8" s="96" t="s">
        <v>163</v>
      </c>
      <c r="O8" s="96" t="s">
        <v>90</v>
      </c>
      <c r="P8" s="96" t="s">
        <v>82</v>
      </c>
      <c r="Q8" s="96" t="s">
        <v>33</v>
      </c>
      <c r="R8" s="99">
        <f>IFERROR(VLOOKUP(N8,'Calificación Controles'!$B$8:$AB$37,27,0)," ")</f>
        <v>76.5</v>
      </c>
      <c r="S8" s="99">
        <f>IFERROR(VLOOKUP(O8,'Calificación Controles'!$B$8:$AB$37,27,0)," ")</f>
        <v>76.5</v>
      </c>
      <c r="T8" s="100">
        <v>0</v>
      </c>
      <c r="U8" s="101">
        <f t="shared" si="0"/>
        <v>0.51</v>
      </c>
      <c r="V8" s="49"/>
      <c r="W8" s="53">
        <f t="shared" si="4"/>
        <v>1.47</v>
      </c>
      <c r="X8" s="53">
        <f t="shared" si="5"/>
        <v>0</v>
      </c>
      <c r="Y8" s="65">
        <f t="shared" si="6"/>
        <v>1.47</v>
      </c>
      <c r="Z8" s="66">
        <f t="shared" si="1"/>
        <v>1</v>
      </c>
      <c r="AA8" s="66"/>
      <c r="AB8" s="66">
        <f t="shared" si="7"/>
        <v>3</v>
      </c>
      <c r="AC8" s="67">
        <f t="shared" si="8"/>
        <v>0</v>
      </c>
      <c r="AD8" s="66">
        <f t="shared" si="9"/>
        <v>3</v>
      </c>
      <c r="AE8" s="66">
        <f t="shared" si="10"/>
        <v>3</v>
      </c>
      <c r="AF8" s="66"/>
      <c r="AG8" s="67">
        <f t="shared" si="11"/>
        <v>3</v>
      </c>
    </row>
    <row r="9" spans="1:37" s="41" customFormat="1" ht="43.2" x14ac:dyDescent="0.3">
      <c r="A9" s="95">
        <f t="shared" si="12"/>
        <v>4</v>
      </c>
      <c r="B9" s="96" t="s">
        <v>148</v>
      </c>
      <c r="C9" s="96" t="s">
        <v>135</v>
      </c>
      <c r="D9" s="96" t="s">
        <v>152</v>
      </c>
      <c r="E9" s="95" t="s">
        <v>19</v>
      </c>
      <c r="F9" s="96" t="s">
        <v>156</v>
      </c>
      <c r="G9" s="95" t="s">
        <v>14</v>
      </c>
      <c r="H9" s="95">
        <f t="shared" si="2"/>
        <v>3</v>
      </c>
      <c r="I9" s="98"/>
      <c r="J9" s="97" t="s">
        <v>39</v>
      </c>
      <c r="K9" s="95">
        <f t="shared" si="3"/>
        <v>2</v>
      </c>
      <c r="L9" s="95"/>
      <c r="M9" s="95">
        <f>IFERROR(+H9*K9," ")</f>
        <v>6</v>
      </c>
      <c r="N9" s="96" t="s">
        <v>82</v>
      </c>
      <c r="O9" s="96" t="s">
        <v>99</v>
      </c>
      <c r="P9" s="96" t="s">
        <v>89</v>
      </c>
      <c r="Q9" s="96" t="s">
        <v>33</v>
      </c>
      <c r="R9" s="99">
        <f>IFERROR(VLOOKUP(N9,'Calificación Controles'!$B$8:$AB$37,27,0)," ")</f>
        <v>76.5</v>
      </c>
      <c r="S9" s="99">
        <f>IFERROR(VLOOKUP(O9,'Calificación Controles'!$B$8:$AB$37,27,0)," ")</f>
        <v>63</v>
      </c>
      <c r="T9" s="100">
        <v>0</v>
      </c>
      <c r="U9" s="101">
        <f t="shared" si="0"/>
        <v>0.46500000000000002</v>
      </c>
      <c r="V9" s="51"/>
      <c r="W9" s="53">
        <f t="shared" si="4"/>
        <v>1.605</v>
      </c>
      <c r="X9" s="53">
        <f t="shared" si="5"/>
        <v>0</v>
      </c>
      <c r="Y9" s="65">
        <f t="shared" si="6"/>
        <v>1.605</v>
      </c>
      <c r="Z9" s="66">
        <f t="shared" si="1"/>
        <v>2</v>
      </c>
      <c r="AA9" s="66"/>
      <c r="AB9" s="66">
        <f t="shared" si="7"/>
        <v>2</v>
      </c>
      <c r="AC9" s="67">
        <f t="shared" si="8"/>
        <v>0</v>
      </c>
      <c r="AD9" s="66">
        <f t="shared" si="9"/>
        <v>2</v>
      </c>
      <c r="AE9" s="66">
        <f t="shared" si="10"/>
        <v>2</v>
      </c>
      <c r="AF9" s="66"/>
      <c r="AG9" s="67">
        <f t="shared" si="11"/>
        <v>4</v>
      </c>
    </row>
    <row r="10" spans="1:37" s="41" customFormat="1" ht="43.2" x14ac:dyDescent="0.3">
      <c r="A10" s="95">
        <f t="shared" si="12"/>
        <v>5</v>
      </c>
      <c r="B10" s="96" t="s">
        <v>169</v>
      </c>
      <c r="C10" s="96" t="s">
        <v>135</v>
      </c>
      <c r="D10" s="96" t="s">
        <v>112</v>
      </c>
      <c r="E10" s="95" t="s">
        <v>19</v>
      </c>
      <c r="F10" s="96" t="s">
        <v>156</v>
      </c>
      <c r="G10" s="95" t="s">
        <v>13</v>
      </c>
      <c r="H10" s="95">
        <f t="shared" si="2"/>
        <v>4</v>
      </c>
      <c r="I10" s="98"/>
      <c r="J10" s="97" t="s">
        <v>38</v>
      </c>
      <c r="K10" s="95">
        <f t="shared" si="3"/>
        <v>3</v>
      </c>
      <c r="L10" s="95"/>
      <c r="M10" s="95">
        <f t="shared" ref="M10:M51" si="13">IFERROR(+H10*K10," ")</f>
        <v>12</v>
      </c>
      <c r="N10" s="96" t="s">
        <v>82</v>
      </c>
      <c r="O10" s="96" t="s">
        <v>159</v>
      </c>
      <c r="P10" s="96" t="s">
        <v>89</v>
      </c>
      <c r="Q10" s="96" t="s">
        <v>33</v>
      </c>
      <c r="R10" s="99">
        <f>IFERROR(VLOOKUP(N10,'Calificación Controles'!$B$8:$AB$37,27,0)," ")</f>
        <v>76.5</v>
      </c>
      <c r="S10" s="99">
        <f>IFERROR(VLOOKUP(O10,'Calificación Controles'!$B$8:$AB$37,27,0)," ")</f>
        <v>63</v>
      </c>
      <c r="T10" s="100">
        <v>0</v>
      </c>
      <c r="U10" s="102">
        <f t="shared" si="0"/>
        <v>0.46500000000000002</v>
      </c>
      <c r="V10" s="49"/>
      <c r="W10" s="53">
        <f t="shared" si="4"/>
        <v>2.1399999999999997</v>
      </c>
      <c r="X10" s="53">
        <f t="shared" si="5"/>
        <v>0</v>
      </c>
      <c r="Y10" s="65">
        <f t="shared" si="6"/>
        <v>2.1399999999999997</v>
      </c>
      <c r="Z10" s="66">
        <f t="shared" si="1"/>
        <v>2</v>
      </c>
      <c r="AA10" s="66"/>
      <c r="AB10" s="66">
        <f t="shared" si="7"/>
        <v>3</v>
      </c>
      <c r="AC10" s="67">
        <f t="shared" si="8"/>
        <v>0</v>
      </c>
      <c r="AD10" s="66">
        <f t="shared" si="9"/>
        <v>3</v>
      </c>
      <c r="AE10" s="66">
        <f t="shared" si="10"/>
        <v>3</v>
      </c>
      <c r="AF10" s="66"/>
      <c r="AG10" s="67">
        <f t="shared" si="11"/>
        <v>6</v>
      </c>
    </row>
    <row r="11" spans="1:37" s="41" customFormat="1" ht="43.2" x14ac:dyDescent="0.3">
      <c r="A11" s="95">
        <f t="shared" si="12"/>
        <v>6</v>
      </c>
      <c r="B11" s="96" t="s">
        <v>150</v>
      </c>
      <c r="C11" s="96" t="s">
        <v>135</v>
      </c>
      <c r="D11" s="96" t="s">
        <v>113</v>
      </c>
      <c r="E11" s="95" t="s">
        <v>25</v>
      </c>
      <c r="F11" s="96" t="s">
        <v>156</v>
      </c>
      <c r="G11" s="95" t="s">
        <v>14</v>
      </c>
      <c r="H11" s="95">
        <f t="shared" si="2"/>
        <v>3</v>
      </c>
      <c r="I11" s="98"/>
      <c r="J11" s="97" t="s">
        <v>39</v>
      </c>
      <c r="K11" s="95">
        <f t="shared" si="3"/>
        <v>2</v>
      </c>
      <c r="L11" s="95"/>
      <c r="M11" s="95">
        <f t="shared" si="13"/>
        <v>6</v>
      </c>
      <c r="N11" s="96" t="s">
        <v>82</v>
      </c>
      <c r="O11" s="96" t="s">
        <v>92</v>
      </c>
      <c r="P11" s="96" t="s">
        <v>89</v>
      </c>
      <c r="Q11" s="96" t="s">
        <v>33</v>
      </c>
      <c r="R11" s="99">
        <f>IFERROR(VLOOKUP(N11,'Calificación Controles'!$B$8:$AB$37,27,0)," ")</f>
        <v>76.5</v>
      </c>
      <c r="S11" s="99">
        <f>IFERROR(VLOOKUP(O11,'Calificación Controles'!$B$8:$AB$37,27,0)," ")</f>
        <v>61.5</v>
      </c>
      <c r="T11" s="100">
        <v>0</v>
      </c>
      <c r="U11" s="102">
        <f t="shared" si="0"/>
        <v>0.46</v>
      </c>
      <c r="V11" s="49"/>
      <c r="W11" s="53">
        <f t="shared" si="4"/>
        <v>1.6199999999999999</v>
      </c>
      <c r="X11" s="53">
        <f t="shared" si="5"/>
        <v>0</v>
      </c>
      <c r="Y11" s="65">
        <f t="shared" si="6"/>
        <v>1.6199999999999999</v>
      </c>
      <c r="Z11" s="66">
        <f t="shared" si="1"/>
        <v>2</v>
      </c>
      <c r="AA11" s="66"/>
      <c r="AB11" s="66">
        <f t="shared" si="7"/>
        <v>2</v>
      </c>
      <c r="AC11" s="67">
        <f t="shared" si="8"/>
        <v>0</v>
      </c>
      <c r="AD11" s="66">
        <f t="shared" si="9"/>
        <v>2</v>
      </c>
      <c r="AE11" s="66">
        <f t="shared" si="10"/>
        <v>2</v>
      </c>
      <c r="AF11" s="66"/>
      <c r="AG11" s="67">
        <f t="shared" si="11"/>
        <v>4</v>
      </c>
    </row>
    <row r="12" spans="1:37" s="41" customFormat="1" ht="28.8" x14ac:dyDescent="0.3">
      <c r="A12" s="95">
        <f t="shared" si="12"/>
        <v>7</v>
      </c>
      <c r="B12" s="96" t="s">
        <v>169</v>
      </c>
      <c r="C12" s="96" t="s">
        <v>15</v>
      </c>
      <c r="D12" s="96" t="s">
        <v>110</v>
      </c>
      <c r="E12" s="95" t="s">
        <v>25</v>
      </c>
      <c r="F12" s="96" t="s">
        <v>29</v>
      </c>
      <c r="G12" s="95" t="s">
        <v>14</v>
      </c>
      <c r="H12" s="95">
        <f t="shared" si="2"/>
        <v>3</v>
      </c>
      <c r="I12" s="98"/>
      <c r="J12" s="97" t="s">
        <v>39</v>
      </c>
      <c r="K12" s="95">
        <f t="shared" si="3"/>
        <v>2</v>
      </c>
      <c r="L12" s="95"/>
      <c r="M12" s="95">
        <f t="shared" si="13"/>
        <v>6</v>
      </c>
      <c r="N12" s="96" t="s">
        <v>101</v>
      </c>
      <c r="O12" s="96" t="s">
        <v>92</v>
      </c>
      <c r="P12" s="96" t="s">
        <v>89</v>
      </c>
      <c r="Q12" s="96" t="s">
        <v>33</v>
      </c>
      <c r="R12" s="99">
        <f>IFERROR(VLOOKUP(N12,'Calificación Controles'!$B$8:$AB$37,27,0)," ")</f>
        <v>48</v>
      </c>
      <c r="S12" s="99">
        <f>IFERROR(VLOOKUP(O12,'Calificación Controles'!$B$8:$AB$37,27,0)," ")</f>
        <v>61.5</v>
      </c>
      <c r="T12" s="100">
        <v>0</v>
      </c>
      <c r="U12" s="102">
        <f t="shared" si="0"/>
        <v>0.36499999999999999</v>
      </c>
      <c r="V12" s="49"/>
      <c r="W12" s="53">
        <f t="shared" si="4"/>
        <v>1.905</v>
      </c>
      <c r="X12" s="53">
        <f t="shared" si="5"/>
        <v>0</v>
      </c>
      <c r="Y12" s="65">
        <f t="shared" si="6"/>
        <v>1.905</v>
      </c>
      <c r="Z12" s="66">
        <f t="shared" si="1"/>
        <v>2</v>
      </c>
      <c r="AA12" s="66"/>
      <c r="AB12" s="66">
        <f t="shared" si="7"/>
        <v>2</v>
      </c>
      <c r="AC12" s="67">
        <f t="shared" si="8"/>
        <v>0</v>
      </c>
      <c r="AD12" s="66">
        <f t="shared" si="9"/>
        <v>2</v>
      </c>
      <c r="AE12" s="66">
        <f t="shared" si="10"/>
        <v>2</v>
      </c>
      <c r="AF12" s="66"/>
      <c r="AG12" s="67">
        <f t="shared" si="11"/>
        <v>4</v>
      </c>
      <c r="AK12" s="52"/>
    </row>
    <row r="13" spans="1:37" s="41" customFormat="1" ht="28.8" x14ac:dyDescent="0.3">
      <c r="A13" s="95">
        <f t="shared" si="12"/>
        <v>8</v>
      </c>
      <c r="B13" s="96" t="s">
        <v>148</v>
      </c>
      <c r="C13" s="96" t="s">
        <v>165</v>
      </c>
      <c r="D13" s="96" t="s">
        <v>162</v>
      </c>
      <c r="E13" s="95" t="s">
        <v>19</v>
      </c>
      <c r="F13" s="96" t="s">
        <v>156</v>
      </c>
      <c r="G13" s="95" t="s">
        <v>14</v>
      </c>
      <c r="H13" s="95">
        <f t="shared" si="2"/>
        <v>3</v>
      </c>
      <c r="I13" s="98"/>
      <c r="J13" s="95" t="s">
        <v>38</v>
      </c>
      <c r="K13" s="95">
        <f t="shared" si="3"/>
        <v>3</v>
      </c>
      <c r="L13" s="95"/>
      <c r="M13" s="95">
        <f t="shared" si="13"/>
        <v>9</v>
      </c>
      <c r="N13" s="96" t="s">
        <v>91</v>
      </c>
      <c r="O13" s="96" t="s">
        <v>99</v>
      </c>
      <c r="P13" s="96" t="s">
        <v>89</v>
      </c>
      <c r="Q13" s="96" t="s">
        <v>34</v>
      </c>
      <c r="R13" s="99">
        <f>IFERROR(VLOOKUP(N13,'Calificación Controles'!$B$8:$AB$37,27,0)," ")</f>
        <v>82.5</v>
      </c>
      <c r="S13" s="99">
        <f>IFERROR(VLOOKUP(O13,'Calificación Controles'!$B$8:$AB$37,27,0)," ")</f>
        <v>63</v>
      </c>
      <c r="T13" s="100">
        <v>0</v>
      </c>
      <c r="U13" s="102">
        <f t="shared" si="0"/>
        <v>0.48499999999999999</v>
      </c>
      <c r="V13" s="49"/>
      <c r="W13" s="53">
        <f t="shared" si="4"/>
        <v>3</v>
      </c>
      <c r="X13" s="53">
        <f t="shared" si="5"/>
        <v>0</v>
      </c>
      <c r="Y13" s="65">
        <f t="shared" si="6"/>
        <v>3</v>
      </c>
      <c r="Z13" s="66">
        <f t="shared" si="1"/>
        <v>3</v>
      </c>
      <c r="AA13" s="66"/>
      <c r="AB13" s="66">
        <f t="shared" si="7"/>
        <v>1.5449999999999999</v>
      </c>
      <c r="AC13" s="67">
        <f t="shared" si="8"/>
        <v>0</v>
      </c>
      <c r="AD13" s="66">
        <f t="shared" si="9"/>
        <v>1.5449999999999999</v>
      </c>
      <c r="AE13" s="66">
        <f t="shared" si="10"/>
        <v>2</v>
      </c>
      <c r="AF13" s="66"/>
      <c r="AG13" s="67">
        <f t="shared" si="11"/>
        <v>6</v>
      </c>
    </row>
    <row r="14" spans="1:37" s="41" customFormat="1" ht="43.2" x14ac:dyDescent="0.3">
      <c r="A14" s="95">
        <f t="shared" si="12"/>
        <v>9</v>
      </c>
      <c r="B14" s="96" t="s">
        <v>148</v>
      </c>
      <c r="C14" s="96" t="s">
        <v>137</v>
      </c>
      <c r="D14" s="96" t="s">
        <v>110</v>
      </c>
      <c r="E14" s="95" t="s">
        <v>25</v>
      </c>
      <c r="F14" s="96" t="s">
        <v>16</v>
      </c>
      <c r="G14" s="97" t="s">
        <v>17</v>
      </c>
      <c r="H14" s="95">
        <f t="shared" si="2"/>
        <v>2</v>
      </c>
      <c r="I14" s="98"/>
      <c r="J14" s="95" t="s">
        <v>39</v>
      </c>
      <c r="K14" s="95">
        <f t="shared" si="3"/>
        <v>2</v>
      </c>
      <c r="L14" s="95"/>
      <c r="M14" s="95">
        <f t="shared" si="13"/>
        <v>4</v>
      </c>
      <c r="N14" s="96" t="s">
        <v>90</v>
      </c>
      <c r="O14" s="96" t="s">
        <v>94</v>
      </c>
      <c r="P14" s="96" t="s">
        <v>89</v>
      </c>
      <c r="Q14" s="96" t="s">
        <v>33</v>
      </c>
      <c r="R14" s="99">
        <f>IFERROR(VLOOKUP(N14,'Calificación Controles'!$B$8:$AB$37,27,0)," ")</f>
        <v>76.5</v>
      </c>
      <c r="S14" s="99">
        <f>IFERROR(VLOOKUP(O14,'Calificación Controles'!$B$8:$AB$37,27,0)," ")</f>
        <v>62.5</v>
      </c>
      <c r="T14" s="100">
        <v>0</v>
      </c>
      <c r="U14" s="102">
        <f t="shared" si="0"/>
        <v>0.46333333333333337</v>
      </c>
      <c r="V14" s="49"/>
      <c r="W14" s="53">
        <f t="shared" si="4"/>
        <v>1.0733333333333333</v>
      </c>
      <c r="X14" s="53">
        <f t="shared" si="5"/>
        <v>0</v>
      </c>
      <c r="Y14" s="65">
        <f t="shared" si="6"/>
        <v>1.0733333333333333</v>
      </c>
      <c r="Z14" s="66">
        <f t="shared" si="1"/>
        <v>1</v>
      </c>
      <c r="AA14" s="66"/>
      <c r="AB14" s="66">
        <f t="shared" si="7"/>
        <v>2</v>
      </c>
      <c r="AC14" s="67">
        <f t="shared" si="8"/>
        <v>0</v>
      </c>
      <c r="AD14" s="66">
        <f t="shared" si="9"/>
        <v>2</v>
      </c>
      <c r="AE14" s="66">
        <f t="shared" si="10"/>
        <v>2</v>
      </c>
      <c r="AF14" s="66"/>
      <c r="AG14" s="67">
        <f t="shared" si="11"/>
        <v>2</v>
      </c>
    </row>
    <row r="15" spans="1:37" s="41" customFormat="1" ht="30.75" customHeight="1" x14ac:dyDescent="0.3">
      <c r="A15" s="95">
        <f t="shared" si="12"/>
        <v>10</v>
      </c>
      <c r="B15" s="96" t="s">
        <v>168</v>
      </c>
      <c r="C15" s="96" t="s">
        <v>21</v>
      </c>
      <c r="D15" s="96" t="s">
        <v>152</v>
      </c>
      <c r="E15" s="95" t="s">
        <v>19</v>
      </c>
      <c r="F15" s="96" t="s">
        <v>156</v>
      </c>
      <c r="G15" s="97" t="s">
        <v>14</v>
      </c>
      <c r="H15" s="95">
        <f t="shared" si="2"/>
        <v>3</v>
      </c>
      <c r="I15" s="98"/>
      <c r="J15" s="95" t="s">
        <v>39</v>
      </c>
      <c r="K15" s="95">
        <f t="shared" si="3"/>
        <v>2</v>
      </c>
      <c r="L15" s="95"/>
      <c r="M15" s="95">
        <f t="shared" si="13"/>
        <v>6</v>
      </c>
      <c r="N15" s="96" t="s">
        <v>101</v>
      </c>
      <c r="O15" s="96" t="s">
        <v>82</v>
      </c>
      <c r="P15" s="96" t="s">
        <v>89</v>
      </c>
      <c r="Q15" s="96" t="s">
        <v>33</v>
      </c>
      <c r="R15" s="99">
        <f>IFERROR(VLOOKUP(N15,'Calificación Controles'!$B$8:$AB$37,27,0)," ")</f>
        <v>48</v>
      </c>
      <c r="S15" s="99">
        <f>IFERROR(VLOOKUP(O15,'Calificación Controles'!$B$8:$AB$37,27,0)," ")</f>
        <v>76.5</v>
      </c>
      <c r="T15" s="100">
        <v>0</v>
      </c>
      <c r="U15" s="102">
        <f t="shared" si="0"/>
        <v>0.41499999999999998</v>
      </c>
      <c r="V15" s="49"/>
      <c r="W15" s="53">
        <f t="shared" si="4"/>
        <v>1.7550000000000001</v>
      </c>
      <c r="X15" s="53">
        <f t="shared" si="5"/>
        <v>0</v>
      </c>
      <c r="Y15" s="65">
        <f t="shared" si="6"/>
        <v>1.7550000000000001</v>
      </c>
      <c r="Z15" s="66">
        <f t="shared" si="1"/>
        <v>2</v>
      </c>
      <c r="AA15" s="66"/>
      <c r="AB15" s="66">
        <f t="shared" si="7"/>
        <v>2</v>
      </c>
      <c r="AC15" s="67">
        <f t="shared" si="8"/>
        <v>0</v>
      </c>
      <c r="AD15" s="66">
        <f t="shared" si="9"/>
        <v>2</v>
      </c>
      <c r="AE15" s="66">
        <f t="shared" si="10"/>
        <v>2</v>
      </c>
      <c r="AF15" s="66"/>
      <c r="AG15" s="67">
        <f t="shared" si="11"/>
        <v>4</v>
      </c>
    </row>
    <row r="16" spans="1:37" s="41" customFormat="1" ht="30.75" customHeight="1" x14ac:dyDescent="0.3">
      <c r="A16" s="95">
        <f t="shared" si="12"/>
        <v>11</v>
      </c>
      <c r="B16" s="96" t="s">
        <v>167</v>
      </c>
      <c r="C16" s="96" t="s">
        <v>21</v>
      </c>
      <c r="D16" s="96" t="s">
        <v>111</v>
      </c>
      <c r="E16" s="95" t="s">
        <v>25</v>
      </c>
      <c r="F16" s="96" t="s">
        <v>156</v>
      </c>
      <c r="G16" s="97" t="s">
        <v>14</v>
      </c>
      <c r="H16" s="95">
        <f t="shared" si="2"/>
        <v>3</v>
      </c>
      <c r="I16" s="98"/>
      <c r="J16" s="95" t="s">
        <v>39</v>
      </c>
      <c r="K16" s="95">
        <f t="shared" si="3"/>
        <v>2</v>
      </c>
      <c r="L16" s="95"/>
      <c r="M16" s="95">
        <f t="shared" si="13"/>
        <v>6</v>
      </c>
      <c r="N16" s="96" t="s">
        <v>90</v>
      </c>
      <c r="O16" s="96" t="s">
        <v>82</v>
      </c>
      <c r="P16" s="96" t="s">
        <v>89</v>
      </c>
      <c r="Q16" s="96" t="s">
        <v>33</v>
      </c>
      <c r="R16" s="99">
        <f>IFERROR(VLOOKUP(N16,'Calificación Controles'!$B$8:$AB$37,27,0)," ")</f>
        <v>76.5</v>
      </c>
      <c r="S16" s="99">
        <f>IFERROR(VLOOKUP(O16,'Calificación Controles'!$B$8:$AB$37,27,0)," ")</f>
        <v>76.5</v>
      </c>
      <c r="T16" s="100">
        <v>0</v>
      </c>
      <c r="U16" s="102">
        <f t="shared" si="0"/>
        <v>0.51</v>
      </c>
      <c r="V16" s="49"/>
      <c r="W16" s="53">
        <f t="shared" si="4"/>
        <v>1.47</v>
      </c>
      <c r="X16" s="53">
        <f t="shared" si="5"/>
        <v>0</v>
      </c>
      <c r="Y16" s="65">
        <f t="shared" si="6"/>
        <v>1.47</v>
      </c>
      <c r="Z16" s="66">
        <f t="shared" si="1"/>
        <v>1</v>
      </c>
      <c r="AA16" s="66"/>
      <c r="AB16" s="66">
        <f t="shared" si="7"/>
        <v>2</v>
      </c>
      <c r="AC16" s="67">
        <f t="shared" si="8"/>
        <v>0</v>
      </c>
      <c r="AD16" s="66">
        <f t="shared" si="9"/>
        <v>2</v>
      </c>
      <c r="AE16" s="66">
        <f t="shared" si="10"/>
        <v>2</v>
      </c>
      <c r="AF16" s="66"/>
      <c r="AG16" s="67">
        <f t="shared" si="11"/>
        <v>2</v>
      </c>
    </row>
    <row r="17" spans="1:34" s="41" customFormat="1" ht="28.8" x14ac:dyDescent="0.3">
      <c r="A17" s="95">
        <f t="shared" si="12"/>
        <v>12</v>
      </c>
      <c r="B17" s="96" t="s">
        <v>168</v>
      </c>
      <c r="C17" s="96" t="s">
        <v>24</v>
      </c>
      <c r="D17" s="96" t="s">
        <v>170</v>
      </c>
      <c r="E17" s="95" t="s">
        <v>19</v>
      </c>
      <c r="F17" s="96" t="s">
        <v>26</v>
      </c>
      <c r="G17" s="95" t="s">
        <v>12</v>
      </c>
      <c r="H17" s="95">
        <f t="shared" si="2"/>
        <v>1</v>
      </c>
      <c r="I17" s="98"/>
      <c r="J17" s="95" t="s">
        <v>38</v>
      </c>
      <c r="K17" s="95">
        <f t="shared" si="3"/>
        <v>3</v>
      </c>
      <c r="L17" s="95"/>
      <c r="M17" s="95">
        <f t="shared" si="13"/>
        <v>3</v>
      </c>
      <c r="N17" s="96" t="s">
        <v>91</v>
      </c>
      <c r="O17" s="96" t="s">
        <v>147</v>
      </c>
      <c r="P17" s="96" t="s">
        <v>89</v>
      </c>
      <c r="Q17" s="96" t="s">
        <v>33</v>
      </c>
      <c r="R17" s="99">
        <f>IFERROR(VLOOKUP(N17,'Calificación Controles'!$B$8:$AB$37,27,0)," ")</f>
        <v>82.5</v>
      </c>
      <c r="S17" s="99">
        <f>IFERROR(VLOOKUP(O17,'Calificación Controles'!$B$8:$AB$37,27,0)," ")</f>
        <v>55.5</v>
      </c>
      <c r="T17" s="100">
        <v>0</v>
      </c>
      <c r="U17" s="102">
        <f t="shared" si="0"/>
        <v>0.46</v>
      </c>
      <c r="V17" s="49"/>
      <c r="W17" s="53">
        <f t="shared" si="4"/>
        <v>0.54</v>
      </c>
      <c r="X17" s="53">
        <f t="shared" si="5"/>
        <v>0</v>
      </c>
      <c r="Y17" s="65">
        <f t="shared" si="6"/>
        <v>0.54</v>
      </c>
      <c r="Z17" s="66">
        <f t="shared" si="1"/>
        <v>1</v>
      </c>
      <c r="AA17" s="66"/>
      <c r="AB17" s="66">
        <f t="shared" si="7"/>
        <v>3</v>
      </c>
      <c r="AC17" s="67">
        <f t="shared" si="8"/>
        <v>0</v>
      </c>
      <c r="AD17" s="66">
        <f t="shared" si="9"/>
        <v>3</v>
      </c>
      <c r="AE17" s="66">
        <f t="shared" si="10"/>
        <v>3</v>
      </c>
      <c r="AF17" s="66"/>
      <c r="AG17" s="67">
        <f t="shared" si="11"/>
        <v>3</v>
      </c>
    </row>
    <row r="18" spans="1:34" s="41" customFormat="1" ht="43.2" x14ac:dyDescent="0.3">
      <c r="A18" s="95">
        <f t="shared" si="12"/>
        <v>13</v>
      </c>
      <c r="B18" s="96" t="s">
        <v>168</v>
      </c>
      <c r="C18" s="96" t="s">
        <v>155</v>
      </c>
      <c r="D18" s="96" t="s">
        <v>114</v>
      </c>
      <c r="E18" s="95" t="s">
        <v>25</v>
      </c>
      <c r="F18" s="96" t="s">
        <v>156</v>
      </c>
      <c r="G18" s="95" t="s">
        <v>12</v>
      </c>
      <c r="H18" s="95">
        <f t="shared" si="2"/>
        <v>1</v>
      </c>
      <c r="I18" s="98"/>
      <c r="J18" s="95" t="s">
        <v>39</v>
      </c>
      <c r="K18" s="95">
        <f t="shared" si="3"/>
        <v>2</v>
      </c>
      <c r="L18" s="95"/>
      <c r="M18" s="95">
        <f t="shared" si="13"/>
        <v>2</v>
      </c>
      <c r="N18" s="96" t="s">
        <v>82</v>
      </c>
      <c r="O18" s="96" t="s">
        <v>142</v>
      </c>
      <c r="P18" s="96" t="s">
        <v>89</v>
      </c>
      <c r="Q18" s="96" t="s">
        <v>33</v>
      </c>
      <c r="R18" s="99">
        <f>IFERROR(VLOOKUP(N18,'Calificación Controles'!$B$8:$AB$37,27,0)," ")</f>
        <v>76.5</v>
      </c>
      <c r="S18" s="99">
        <f>IFERROR(VLOOKUP(O18,'Calificación Controles'!$B$8:$AB$37,27,0)," ")</f>
        <v>69</v>
      </c>
      <c r="T18" s="100">
        <v>0</v>
      </c>
      <c r="U18" s="102">
        <f t="shared" si="0"/>
        <v>0.48499999999999999</v>
      </c>
      <c r="V18" s="49"/>
      <c r="W18" s="53">
        <f t="shared" si="4"/>
        <v>0.51500000000000001</v>
      </c>
      <c r="X18" s="53">
        <f t="shared" si="5"/>
        <v>0</v>
      </c>
      <c r="Y18" s="65">
        <f t="shared" si="6"/>
        <v>0.51500000000000001</v>
      </c>
      <c r="Z18" s="66">
        <f t="shared" si="1"/>
        <v>1</v>
      </c>
      <c r="AA18" s="66"/>
      <c r="AB18" s="66">
        <f t="shared" si="7"/>
        <v>2</v>
      </c>
      <c r="AC18" s="67">
        <f t="shared" si="8"/>
        <v>0</v>
      </c>
      <c r="AD18" s="66">
        <f t="shared" si="9"/>
        <v>2</v>
      </c>
      <c r="AE18" s="66">
        <f t="shared" si="10"/>
        <v>2</v>
      </c>
      <c r="AF18" s="66"/>
      <c r="AG18" s="67">
        <f t="shared" si="11"/>
        <v>2</v>
      </c>
    </row>
    <row r="19" spans="1:34" s="41" customFormat="1" ht="43.2" x14ac:dyDescent="0.3">
      <c r="A19" s="95">
        <f t="shared" si="12"/>
        <v>14</v>
      </c>
      <c r="B19" s="96" t="s">
        <v>168</v>
      </c>
      <c r="C19" s="96" t="s">
        <v>23</v>
      </c>
      <c r="D19" s="96" t="s">
        <v>115</v>
      </c>
      <c r="E19" s="95" t="s">
        <v>25</v>
      </c>
      <c r="F19" s="96" t="s">
        <v>30</v>
      </c>
      <c r="G19" s="95" t="s">
        <v>12</v>
      </c>
      <c r="H19" s="95">
        <f t="shared" si="2"/>
        <v>1</v>
      </c>
      <c r="I19" s="98"/>
      <c r="J19" s="95" t="s">
        <v>38</v>
      </c>
      <c r="K19" s="95">
        <f t="shared" si="3"/>
        <v>3</v>
      </c>
      <c r="L19" s="95"/>
      <c r="M19" s="95">
        <f t="shared" si="13"/>
        <v>3</v>
      </c>
      <c r="N19" s="96" t="s">
        <v>90</v>
      </c>
      <c r="O19" s="96" t="s">
        <v>82</v>
      </c>
      <c r="P19" s="96" t="s">
        <v>89</v>
      </c>
      <c r="Q19" s="96" t="s">
        <v>33</v>
      </c>
      <c r="R19" s="99">
        <f>IFERROR(VLOOKUP(N19,'Calificación Controles'!$B$8:$AB$37,27,0)," ")</f>
        <v>76.5</v>
      </c>
      <c r="S19" s="99">
        <f>IFERROR(VLOOKUP(O19,'Calificación Controles'!$B$8:$AB$37,27,0)," ")</f>
        <v>76.5</v>
      </c>
      <c r="T19" s="100">
        <v>0</v>
      </c>
      <c r="U19" s="102">
        <f t="shared" si="0"/>
        <v>0.51</v>
      </c>
      <c r="V19" s="49"/>
      <c r="W19" s="53">
        <f t="shared" si="4"/>
        <v>0.49</v>
      </c>
      <c r="X19" s="53">
        <f t="shared" si="5"/>
        <v>0</v>
      </c>
      <c r="Y19" s="65">
        <f t="shared" si="6"/>
        <v>0.49</v>
      </c>
      <c r="Z19" s="66">
        <f t="shared" si="1"/>
        <v>1</v>
      </c>
      <c r="AA19" s="66"/>
      <c r="AB19" s="66">
        <f t="shared" si="7"/>
        <v>3</v>
      </c>
      <c r="AC19" s="67">
        <f t="shared" si="8"/>
        <v>0</v>
      </c>
      <c r="AD19" s="66">
        <f t="shared" si="9"/>
        <v>3</v>
      </c>
      <c r="AE19" s="66">
        <f t="shared" si="10"/>
        <v>3</v>
      </c>
      <c r="AF19" s="66"/>
      <c r="AG19" s="67">
        <f t="shared" si="11"/>
        <v>3</v>
      </c>
    </row>
    <row r="20" spans="1:34" s="41" customFormat="1" ht="30.75" customHeight="1" x14ac:dyDescent="0.3">
      <c r="A20" s="95">
        <f t="shared" si="12"/>
        <v>15</v>
      </c>
      <c r="B20" s="96" t="s">
        <v>27</v>
      </c>
      <c r="C20" s="96" t="s">
        <v>31</v>
      </c>
      <c r="D20" s="96" t="s">
        <v>170</v>
      </c>
      <c r="E20" s="95" t="s">
        <v>25</v>
      </c>
      <c r="F20" s="96" t="s">
        <v>156</v>
      </c>
      <c r="G20" s="95" t="s">
        <v>13</v>
      </c>
      <c r="H20" s="95">
        <f t="shared" si="2"/>
        <v>4</v>
      </c>
      <c r="I20" s="98"/>
      <c r="J20" s="95" t="s">
        <v>38</v>
      </c>
      <c r="K20" s="95">
        <f t="shared" si="3"/>
        <v>3</v>
      </c>
      <c r="L20" s="95"/>
      <c r="M20" s="95">
        <f t="shared" si="13"/>
        <v>12</v>
      </c>
      <c r="N20" s="96" t="s">
        <v>91</v>
      </c>
      <c r="O20" s="96" t="s">
        <v>147</v>
      </c>
      <c r="P20" s="96" t="s">
        <v>89</v>
      </c>
      <c r="Q20" s="96" t="s">
        <v>33</v>
      </c>
      <c r="R20" s="99">
        <f>IFERROR(VLOOKUP(N20,'Calificación Controles'!$B$8:$AB$37,27,0)," ")</f>
        <v>82.5</v>
      </c>
      <c r="S20" s="99">
        <f>IFERROR(VLOOKUP(O20,'Calificación Controles'!$B$8:$AB$37,27,0)," ")</f>
        <v>55.5</v>
      </c>
      <c r="T20" s="100">
        <v>0</v>
      </c>
      <c r="U20" s="102">
        <f t="shared" si="0"/>
        <v>0.46</v>
      </c>
      <c r="V20" s="49"/>
      <c r="W20" s="53">
        <f t="shared" si="4"/>
        <v>2.16</v>
      </c>
      <c r="X20" s="53">
        <f t="shared" si="5"/>
        <v>0</v>
      </c>
      <c r="Y20" s="65">
        <f t="shared" si="6"/>
        <v>2.16</v>
      </c>
      <c r="Z20" s="66">
        <f t="shared" si="1"/>
        <v>2</v>
      </c>
      <c r="AA20" s="66"/>
      <c r="AB20" s="66">
        <f t="shared" si="7"/>
        <v>3</v>
      </c>
      <c r="AC20" s="67">
        <f t="shared" si="8"/>
        <v>0</v>
      </c>
      <c r="AD20" s="66">
        <f t="shared" si="9"/>
        <v>3</v>
      </c>
      <c r="AE20" s="66">
        <f t="shared" si="10"/>
        <v>3</v>
      </c>
      <c r="AF20" s="66"/>
      <c r="AG20" s="67">
        <f t="shared" si="11"/>
        <v>6</v>
      </c>
    </row>
    <row r="21" spans="1:34" s="41" customFormat="1" ht="30.75" customHeight="1" x14ac:dyDescent="0.3">
      <c r="A21" s="95">
        <f t="shared" si="12"/>
        <v>16</v>
      </c>
      <c r="B21" s="96" t="s">
        <v>27</v>
      </c>
      <c r="C21" s="96" t="s">
        <v>96</v>
      </c>
      <c r="D21" s="96" t="s">
        <v>114</v>
      </c>
      <c r="E21" s="95" t="s">
        <v>19</v>
      </c>
      <c r="F21" s="96" t="s">
        <v>156</v>
      </c>
      <c r="G21" s="95" t="s">
        <v>12</v>
      </c>
      <c r="H21" s="95">
        <f t="shared" si="2"/>
        <v>1</v>
      </c>
      <c r="I21" s="98"/>
      <c r="J21" s="95" t="s">
        <v>38</v>
      </c>
      <c r="K21" s="95">
        <f t="shared" si="3"/>
        <v>3</v>
      </c>
      <c r="L21" s="95"/>
      <c r="M21" s="95">
        <f t="shared" si="13"/>
        <v>3</v>
      </c>
      <c r="N21" s="96" t="s">
        <v>145</v>
      </c>
      <c r="O21" s="96" t="s">
        <v>146</v>
      </c>
      <c r="P21" s="96" t="s">
        <v>89</v>
      </c>
      <c r="Q21" s="96" t="s">
        <v>33</v>
      </c>
      <c r="R21" s="99">
        <f>IFERROR(VLOOKUP(N21,'Calificación Controles'!$B$8:$AB$37,27,0)," ")</f>
        <v>82.5</v>
      </c>
      <c r="S21" s="99">
        <f>IFERROR(VLOOKUP(O21,'Calificación Controles'!$B$8:$AB$37,27,0)," ")</f>
        <v>82.5</v>
      </c>
      <c r="T21" s="100">
        <v>0</v>
      </c>
      <c r="U21" s="102">
        <f t="shared" si="0"/>
        <v>0.55000000000000004</v>
      </c>
      <c r="V21" s="49"/>
      <c r="W21" s="53">
        <f t="shared" si="4"/>
        <v>0.44999999999999996</v>
      </c>
      <c r="X21" s="53">
        <f t="shared" si="5"/>
        <v>0</v>
      </c>
      <c r="Y21" s="65">
        <f t="shared" si="6"/>
        <v>0.44999999999999996</v>
      </c>
      <c r="Z21" s="66">
        <f t="shared" si="1"/>
        <v>1</v>
      </c>
      <c r="AA21" s="66"/>
      <c r="AB21" s="66">
        <f t="shared" si="7"/>
        <v>3</v>
      </c>
      <c r="AC21" s="67">
        <f t="shared" si="8"/>
        <v>0</v>
      </c>
      <c r="AD21" s="66">
        <f t="shared" si="9"/>
        <v>3</v>
      </c>
      <c r="AE21" s="66">
        <f t="shared" si="10"/>
        <v>3</v>
      </c>
      <c r="AF21" s="66"/>
      <c r="AG21" s="67">
        <f t="shared" si="11"/>
        <v>3</v>
      </c>
    </row>
    <row r="22" spans="1:34" s="41" customFormat="1" ht="30.75" customHeight="1" x14ac:dyDescent="0.3">
      <c r="A22" s="95">
        <f t="shared" si="12"/>
        <v>17</v>
      </c>
      <c r="B22" s="96" t="s">
        <v>148</v>
      </c>
      <c r="C22" s="96" t="s">
        <v>23</v>
      </c>
      <c r="D22" s="96" t="s">
        <v>152</v>
      </c>
      <c r="E22" s="95" t="s">
        <v>19</v>
      </c>
      <c r="F22" s="96" t="s">
        <v>156</v>
      </c>
      <c r="G22" s="95" t="s">
        <v>14</v>
      </c>
      <c r="H22" s="95">
        <f t="shared" si="2"/>
        <v>3</v>
      </c>
      <c r="I22" s="98"/>
      <c r="J22" s="95" t="s">
        <v>38</v>
      </c>
      <c r="K22" s="95">
        <f t="shared" si="3"/>
        <v>3</v>
      </c>
      <c r="L22" s="95"/>
      <c r="M22" s="95">
        <f t="shared" si="13"/>
        <v>9</v>
      </c>
      <c r="N22" s="96" t="s">
        <v>163</v>
      </c>
      <c r="O22" s="96" t="s">
        <v>82</v>
      </c>
      <c r="P22" s="96" t="s">
        <v>89</v>
      </c>
      <c r="Q22" s="96" t="s">
        <v>33</v>
      </c>
      <c r="R22" s="99">
        <f>IFERROR(VLOOKUP(N22,'Calificación Controles'!$B$8:$AB$37,27,0)," ")</f>
        <v>76.5</v>
      </c>
      <c r="S22" s="99">
        <f>IFERROR(VLOOKUP(O22,'Calificación Controles'!$B$8:$AB$37,27,0)," ")</f>
        <v>76.5</v>
      </c>
      <c r="T22" s="99">
        <f>IFERROR(VLOOKUP(P22,'Calificación Controles'!$B$8:$AB$37,27,0), " ")</f>
        <v>40</v>
      </c>
      <c r="U22" s="102">
        <f t="shared" si="0"/>
        <v>0.64333333333333331</v>
      </c>
      <c r="V22" s="49"/>
      <c r="W22" s="53">
        <f t="shared" si="4"/>
        <v>1.07</v>
      </c>
      <c r="X22" s="53">
        <f t="shared" si="5"/>
        <v>0</v>
      </c>
      <c r="Y22" s="65">
        <f t="shared" si="6"/>
        <v>1.07</v>
      </c>
      <c r="Z22" s="66">
        <f t="shared" si="1"/>
        <v>1</v>
      </c>
      <c r="AA22" s="66"/>
      <c r="AB22" s="66">
        <f t="shared" si="7"/>
        <v>3</v>
      </c>
      <c r="AC22" s="67">
        <f t="shared" si="8"/>
        <v>0</v>
      </c>
      <c r="AD22" s="66">
        <f t="shared" si="9"/>
        <v>3</v>
      </c>
      <c r="AE22" s="66">
        <f t="shared" si="10"/>
        <v>3</v>
      </c>
      <c r="AF22" s="66"/>
      <c r="AG22" s="67">
        <f t="shared" si="11"/>
        <v>3</v>
      </c>
    </row>
    <row r="23" spans="1:34" s="41" customFormat="1" ht="30.75" customHeight="1" x14ac:dyDescent="0.3">
      <c r="A23" s="95">
        <f t="shared" si="12"/>
        <v>18</v>
      </c>
      <c r="B23" s="95" t="s">
        <v>148</v>
      </c>
      <c r="C23" s="96" t="s">
        <v>187</v>
      </c>
      <c r="D23" s="96" t="s">
        <v>158</v>
      </c>
      <c r="E23" s="95" t="s">
        <v>25</v>
      </c>
      <c r="F23" s="96" t="s">
        <v>156</v>
      </c>
      <c r="G23" s="95" t="s">
        <v>14</v>
      </c>
      <c r="H23" s="95">
        <f t="shared" si="2"/>
        <v>3</v>
      </c>
      <c r="I23" s="98"/>
      <c r="J23" s="95" t="s">
        <v>37</v>
      </c>
      <c r="K23" s="95">
        <f t="shared" si="3"/>
        <v>4</v>
      </c>
      <c r="L23" s="95"/>
      <c r="M23" s="95">
        <f t="shared" si="13"/>
        <v>12</v>
      </c>
      <c r="N23" s="96" t="s">
        <v>159</v>
      </c>
      <c r="O23" s="96" t="s">
        <v>83</v>
      </c>
      <c r="P23" s="96" t="s">
        <v>89</v>
      </c>
      <c r="Q23" s="96" t="s">
        <v>122</v>
      </c>
      <c r="R23" s="99">
        <f>IFERROR(VLOOKUP(N23,'Calificación Controles'!$B$8:$AB$37,27,0)," ")</f>
        <v>63</v>
      </c>
      <c r="S23" s="99">
        <f>IFERROR(VLOOKUP(O23,'Calificación Controles'!$B$8:$AB$37,27,0)," ")</f>
        <v>77.5</v>
      </c>
      <c r="T23" s="99">
        <f>IFERROR(VLOOKUP(P23,'Calificación Controles'!$B$8:$AB$37,27,0), " ")</f>
        <v>40</v>
      </c>
      <c r="U23" s="102">
        <f t="shared" si="0"/>
        <v>0.60166666666666668</v>
      </c>
      <c r="V23" s="49"/>
      <c r="W23" s="53">
        <f t="shared" si="4"/>
        <v>3</v>
      </c>
      <c r="X23" s="53">
        <f t="shared" si="5"/>
        <v>1.8050000000000002</v>
      </c>
      <c r="Y23" s="65">
        <f t="shared" si="6"/>
        <v>1.1949999999999998</v>
      </c>
      <c r="Z23" s="66">
        <f t="shared" si="1"/>
        <v>1</v>
      </c>
      <c r="AA23" s="66"/>
      <c r="AB23" s="66">
        <f t="shared" si="7"/>
        <v>4</v>
      </c>
      <c r="AC23" s="67">
        <f t="shared" si="8"/>
        <v>2.4066666666666667</v>
      </c>
      <c r="AD23" s="66">
        <f t="shared" si="9"/>
        <v>1.5933333333333333</v>
      </c>
      <c r="AE23" s="66">
        <f t="shared" si="10"/>
        <v>2</v>
      </c>
      <c r="AF23" s="66"/>
      <c r="AG23" s="67">
        <f t="shared" si="11"/>
        <v>2</v>
      </c>
    </row>
    <row r="24" spans="1:34" s="41" customFormat="1" ht="28.8" x14ac:dyDescent="0.3">
      <c r="A24" s="95">
        <f t="shared" si="12"/>
        <v>19</v>
      </c>
      <c r="B24" s="95" t="s">
        <v>148</v>
      </c>
      <c r="C24" s="96" t="s">
        <v>165</v>
      </c>
      <c r="D24" s="96" t="s">
        <v>162</v>
      </c>
      <c r="E24" s="95" t="s">
        <v>25</v>
      </c>
      <c r="F24" s="96" t="s">
        <v>156</v>
      </c>
      <c r="G24" s="95" t="s">
        <v>17</v>
      </c>
      <c r="H24" s="95">
        <f t="shared" si="2"/>
        <v>2</v>
      </c>
      <c r="I24" s="98"/>
      <c r="J24" s="95" t="s">
        <v>37</v>
      </c>
      <c r="K24" s="95">
        <f t="shared" si="3"/>
        <v>4</v>
      </c>
      <c r="L24" s="95"/>
      <c r="M24" s="95">
        <f t="shared" si="13"/>
        <v>8</v>
      </c>
      <c r="N24" s="96" t="s">
        <v>163</v>
      </c>
      <c r="O24" s="96" t="s">
        <v>147</v>
      </c>
      <c r="P24" s="96" t="s">
        <v>94</v>
      </c>
      <c r="Q24" s="96" t="s">
        <v>33</v>
      </c>
      <c r="R24" s="99">
        <f>IFERROR(VLOOKUP(N24,'Calificación Controles'!$B$8:$AB$37,27,0)," ")</f>
        <v>76.5</v>
      </c>
      <c r="S24" s="99">
        <f>IFERROR(VLOOKUP(O24,'Calificación Controles'!$B$8:$AB$37,27,0)," ")</f>
        <v>55.5</v>
      </c>
      <c r="T24" s="99">
        <f>IFERROR(VLOOKUP(P24,'Calificación Controles'!$B$8:$AB$37,27,0), " ")</f>
        <v>62.5</v>
      </c>
      <c r="U24" s="102">
        <f t="shared" si="0"/>
        <v>0.64833333333333332</v>
      </c>
      <c r="V24" s="49"/>
      <c r="W24" s="53">
        <f t="shared" si="4"/>
        <v>0.70333333333333337</v>
      </c>
      <c r="X24" s="53">
        <f t="shared" si="5"/>
        <v>0</v>
      </c>
      <c r="Y24" s="65">
        <f t="shared" si="6"/>
        <v>0.70333333333333337</v>
      </c>
      <c r="Z24" s="66">
        <f t="shared" si="1"/>
        <v>1</v>
      </c>
      <c r="AA24" s="66"/>
      <c r="AB24" s="66">
        <f t="shared" si="7"/>
        <v>4</v>
      </c>
      <c r="AC24" s="67">
        <f t="shared" si="8"/>
        <v>0</v>
      </c>
      <c r="AD24" s="66">
        <f t="shared" si="9"/>
        <v>4</v>
      </c>
      <c r="AE24" s="66">
        <f t="shared" si="10"/>
        <v>4</v>
      </c>
      <c r="AF24" s="66"/>
      <c r="AG24" s="67">
        <f t="shared" si="11"/>
        <v>4</v>
      </c>
    </row>
    <row r="25" spans="1:34" s="41" customFormat="1" ht="30.75" customHeight="1" x14ac:dyDescent="0.3">
      <c r="A25" s="95">
        <f t="shared" si="12"/>
        <v>20</v>
      </c>
      <c r="B25" s="95" t="s">
        <v>148</v>
      </c>
      <c r="C25" s="96" t="s">
        <v>188</v>
      </c>
      <c r="D25" s="96" t="s">
        <v>152</v>
      </c>
      <c r="E25" s="95" t="s">
        <v>116</v>
      </c>
      <c r="F25" s="96" t="s">
        <v>26</v>
      </c>
      <c r="G25" s="95" t="s">
        <v>14</v>
      </c>
      <c r="H25" s="95">
        <f t="shared" si="2"/>
        <v>3</v>
      </c>
      <c r="I25" s="98"/>
      <c r="J25" s="95" t="s">
        <v>36</v>
      </c>
      <c r="K25" s="95">
        <f t="shared" si="3"/>
        <v>5</v>
      </c>
      <c r="L25" s="95"/>
      <c r="M25" s="95">
        <f t="shared" si="13"/>
        <v>15</v>
      </c>
      <c r="N25" s="96" t="s">
        <v>193</v>
      </c>
      <c r="O25" s="96" t="s">
        <v>189</v>
      </c>
      <c r="P25" s="96" t="s">
        <v>94</v>
      </c>
      <c r="Q25" s="96" t="s">
        <v>34</v>
      </c>
      <c r="R25" s="99" t="str">
        <f>IFERROR(VLOOKUP(N25,'Calificación Controles'!$B$8:$AB$37,27,0)," ")</f>
        <v xml:space="preserve"> </v>
      </c>
      <c r="S25" s="99">
        <f>IFERROR(VLOOKUP(O25,'Calificación Controles'!$B$8:$AB$37,27,0)," ")</f>
        <v>82.5</v>
      </c>
      <c r="T25" s="99">
        <f>IFERROR(VLOOKUP(P25,'Calificación Controles'!$B$8:$AB$37,27,0), " ")</f>
        <v>62.5</v>
      </c>
      <c r="U25" s="102" t="str">
        <f t="shared" si="0"/>
        <v xml:space="preserve"> </v>
      </c>
      <c r="V25" s="49"/>
      <c r="W25" s="53">
        <f t="shared" si="4"/>
        <v>3</v>
      </c>
      <c r="X25" s="53">
        <f t="shared" si="5"/>
        <v>0</v>
      </c>
      <c r="Y25" s="65">
        <f t="shared" si="6"/>
        <v>3</v>
      </c>
      <c r="Z25" s="66">
        <f t="shared" si="1"/>
        <v>3</v>
      </c>
      <c r="AA25" s="66"/>
      <c r="AB25" s="66" t="str">
        <f t="shared" si="7"/>
        <v xml:space="preserve"> </v>
      </c>
      <c r="AC25" s="67">
        <f t="shared" si="8"/>
        <v>0</v>
      </c>
      <c r="AD25" s="66" t="str">
        <f t="shared" si="9"/>
        <v xml:space="preserve"> </v>
      </c>
      <c r="AE25" s="66" t="str">
        <f t="shared" si="10"/>
        <v xml:space="preserve"> </v>
      </c>
      <c r="AF25" s="66"/>
      <c r="AG25" s="67">
        <f t="shared" si="11"/>
        <v>0</v>
      </c>
    </row>
    <row r="26" spans="1:34" s="41" customFormat="1" ht="30.75" customHeight="1" x14ac:dyDescent="0.3">
      <c r="A26" s="95">
        <f t="shared" si="12"/>
        <v>21</v>
      </c>
      <c r="B26" s="95" t="s">
        <v>148</v>
      </c>
      <c r="C26" s="96" t="s">
        <v>185</v>
      </c>
      <c r="D26" s="96" t="s">
        <v>183</v>
      </c>
      <c r="E26" s="95" t="s">
        <v>19</v>
      </c>
      <c r="F26" s="96" t="s">
        <v>156</v>
      </c>
      <c r="G26" s="95" t="s">
        <v>17</v>
      </c>
      <c r="H26" s="95">
        <f t="shared" si="2"/>
        <v>2</v>
      </c>
      <c r="I26" s="98"/>
      <c r="J26" s="95" t="s">
        <v>37</v>
      </c>
      <c r="K26" s="95">
        <f t="shared" si="3"/>
        <v>4</v>
      </c>
      <c r="L26" s="95"/>
      <c r="M26" s="95">
        <f t="shared" si="13"/>
        <v>8</v>
      </c>
      <c r="N26" s="96" t="s">
        <v>193</v>
      </c>
      <c r="O26" s="96" t="s">
        <v>191</v>
      </c>
      <c r="P26" s="96" t="s">
        <v>189</v>
      </c>
      <c r="Q26" s="96" t="s">
        <v>122</v>
      </c>
      <c r="R26" s="99" t="str">
        <f>IFERROR(VLOOKUP(N26,'Calificación Controles'!$B$8:$AB$37,27,0)," ")</f>
        <v xml:space="preserve"> </v>
      </c>
      <c r="S26" s="99">
        <f>IFERROR(VLOOKUP(O26,'Calificación Controles'!$B$8:$AB$37,27,0)," ")</f>
        <v>75</v>
      </c>
      <c r="T26" s="99">
        <f>IFERROR(VLOOKUP(P26,'Calificación Controles'!$B$8:$AB$37,27,0), " ")</f>
        <v>82.5</v>
      </c>
      <c r="U26" s="102" t="str">
        <f t="shared" si="0"/>
        <v xml:space="preserve"> </v>
      </c>
      <c r="V26" s="49"/>
      <c r="W26" s="53">
        <f t="shared" si="4"/>
        <v>2</v>
      </c>
      <c r="X26" s="53" t="str">
        <f t="shared" si="5"/>
        <v xml:space="preserve"> </v>
      </c>
      <c r="Y26" s="65" t="str">
        <f t="shared" si="6"/>
        <v xml:space="preserve"> </v>
      </c>
      <c r="Z26" s="66" t="str">
        <f t="shared" si="1"/>
        <v xml:space="preserve"> </v>
      </c>
      <c r="AA26" s="66"/>
      <c r="AB26" s="66">
        <f t="shared" si="7"/>
        <v>4</v>
      </c>
      <c r="AC26" s="67" t="str">
        <f t="shared" si="8"/>
        <v xml:space="preserve"> </v>
      </c>
      <c r="AD26" s="66" t="str">
        <f t="shared" si="9"/>
        <v xml:space="preserve"> </v>
      </c>
      <c r="AE26" s="66" t="str">
        <f t="shared" si="10"/>
        <v xml:space="preserve"> </v>
      </c>
      <c r="AF26" s="66"/>
      <c r="AG26" s="67">
        <f t="shared" si="11"/>
        <v>0</v>
      </c>
    </row>
    <row r="27" spans="1:34" s="41" customFormat="1" ht="30.75" customHeight="1" x14ac:dyDescent="0.3">
      <c r="A27" s="95">
        <f t="shared" si="12"/>
        <v>22</v>
      </c>
      <c r="B27" s="95" t="s">
        <v>148</v>
      </c>
      <c r="C27" s="96" t="s">
        <v>186</v>
      </c>
      <c r="D27" s="96" t="s">
        <v>184</v>
      </c>
      <c r="E27" s="95" t="s">
        <v>19</v>
      </c>
      <c r="F27" s="96" t="s">
        <v>156</v>
      </c>
      <c r="G27" s="95" t="s">
        <v>13</v>
      </c>
      <c r="H27" s="95">
        <f t="shared" si="2"/>
        <v>4</v>
      </c>
      <c r="I27" s="98"/>
      <c r="J27" s="95" t="s">
        <v>36</v>
      </c>
      <c r="K27" s="95">
        <f t="shared" si="3"/>
        <v>5</v>
      </c>
      <c r="L27" s="95"/>
      <c r="M27" s="95">
        <f t="shared" si="13"/>
        <v>20</v>
      </c>
      <c r="N27" s="96" t="s">
        <v>193</v>
      </c>
      <c r="O27" s="96" t="s">
        <v>82</v>
      </c>
      <c r="P27" s="96" t="s">
        <v>189</v>
      </c>
      <c r="Q27" s="96" t="s">
        <v>34</v>
      </c>
      <c r="R27" s="99" t="str">
        <f>IFERROR(VLOOKUP(N27,'Calificación Controles'!$B$8:$AB$37,27,0)," ")</f>
        <v xml:space="preserve"> </v>
      </c>
      <c r="S27" s="99">
        <f>IFERROR(VLOOKUP(O27,'Calificación Controles'!$B$8:$AB$37,27,0)," ")</f>
        <v>76.5</v>
      </c>
      <c r="T27" s="99">
        <f>IFERROR(VLOOKUP(P27,'Calificación Controles'!$B$8:$AB$37,27,0), " ")</f>
        <v>82.5</v>
      </c>
      <c r="U27" s="102" t="str">
        <f t="shared" si="0"/>
        <v xml:space="preserve"> </v>
      </c>
      <c r="V27" s="49"/>
      <c r="W27" s="53">
        <f t="shared" si="4"/>
        <v>4</v>
      </c>
      <c r="X27" s="53">
        <f t="shared" si="5"/>
        <v>0</v>
      </c>
      <c r="Y27" s="65">
        <f t="shared" si="6"/>
        <v>4</v>
      </c>
      <c r="Z27" s="66">
        <f>IFERROR(ROUND(IF(Y27&lt;=1,1,IF(Y27&gt;1,Y27," ")),0)," ")</f>
        <v>4</v>
      </c>
      <c r="AA27" s="66"/>
      <c r="AB27" s="66" t="str">
        <f t="shared" si="7"/>
        <v xml:space="preserve"> </v>
      </c>
      <c r="AC27" s="67">
        <f t="shared" si="8"/>
        <v>0</v>
      </c>
      <c r="AD27" s="66" t="str">
        <f t="shared" si="9"/>
        <v xml:space="preserve"> </v>
      </c>
      <c r="AE27" s="66" t="str">
        <f t="shared" si="10"/>
        <v xml:space="preserve"> </v>
      </c>
      <c r="AF27" s="66"/>
      <c r="AG27" s="67">
        <f t="shared" si="11"/>
        <v>0</v>
      </c>
    </row>
    <row r="28" spans="1:34" s="41" customFormat="1" ht="30.75" customHeight="1" x14ac:dyDescent="0.3">
      <c r="A28" s="41">
        <f t="shared" si="12"/>
        <v>23</v>
      </c>
      <c r="C28" s="42"/>
      <c r="D28" s="42"/>
      <c r="F28" s="42"/>
      <c r="H28" s="41" t="str">
        <f t="shared" si="2"/>
        <v xml:space="preserve"> </v>
      </c>
      <c r="I28" s="63"/>
      <c r="K28" s="41" t="str">
        <f t="shared" si="3"/>
        <v xml:space="preserve"> </v>
      </c>
      <c r="M28" s="41" t="str">
        <f t="shared" si="13"/>
        <v xml:space="preserve"> </v>
      </c>
      <c r="N28" s="42"/>
      <c r="O28" s="42"/>
      <c r="P28" s="42"/>
      <c r="Q28" s="42"/>
      <c r="R28" s="43" t="str">
        <f>IFERROR(VLOOKUP(N28,'Calificación Controles'!$B$8:$AB$37,27,0)," ")</f>
        <v xml:space="preserve"> </v>
      </c>
      <c r="S28" s="43" t="str">
        <f>IFERROR(VLOOKUP(O28,'Calificación Controles'!$B$8:$AB$37,27,0)," ")</f>
        <v xml:space="preserve"> </v>
      </c>
      <c r="T28" s="43" t="str">
        <f>IFERROR(VLOOKUP(P28,'Calificación Controles'!$B$8:$AB$37,27,0), " ")</f>
        <v xml:space="preserve"> </v>
      </c>
      <c r="U28" s="49" t="str">
        <f t="shared" si="0"/>
        <v xml:space="preserve"> </v>
      </c>
      <c r="V28" s="49"/>
      <c r="W28" s="53" t="str">
        <f t="shared" si="4"/>
        <v xml:space="preserve"> </v>
      </c>
      <c r="X28" s="53">
        <f t="shared" si="5"/>
        <v>0</v>
      </c>
      <c r="Y28" s="65" t="str">
        <f t="shared" si="6"/>
        <v xml:space="preserve"> </v>
      </c>
      <c r="Z28" s="66" t="str">
        <f t="shared" ref="Z28:Z33" si="14">IFERROR(ROUND(IF(Y28&lt;=1,1,IF(Y28&gt;1,Y28," ")),0)," ")</f>
        <v xml:space="preserve"> </v>
      </c>
      <c r="AA28" s="66"/>
      <c r="AB28" s="66" t="str">
        <f t="shared" si="7"/>
        <v xml:space="preserve"> </v>
      </c>
      <c r="AC28" s="67">
        <f t="shared" si="8"/>
        <v>0</v>
      </c>
      <c r="AD28" s="66" t="str">
        <f t="shared" si="9"/>
        <v xml:space="preserve"> </v>
      </c>
      <c r="AE28" s="66" t="str">
        <f t="shared" si="10"/>
        <v xml:space="preserve"> </v>
      </c>
      <c r="AF28" s="66"/>
      <c r="AG28" s="67">
        <f t="shared" si="11"/>
        <v>0</v>
      </c>
    </row>
    <row r="29" spans="1:34" s="41" customFormat="1" ht="30.75" customHeight="1" x14ac:dyDescent="0.3">
      <c r="A29" s="41">
        <f t="shared" si="12"/>
        <v>24</v>
      </c>
      <c r="C29" s="42"/>
      <c r="D29" s="42"/>
      <c r="F29" s="42"/>
      <c r="H29" s="41" t="str">
        <f t="shared" si="2"/>
        <v xml:space="preserve"> </v>
      </c>
      <c r="I29" s="63"/>
      <c r="K29" s="41" t="str">
        <f t="shared" si="3"/>
        <v xml:space="preserve"> </v>
      </c>
      <c r="M29" s="41" t="str">
        <f t="shared" si="13"/>
        <v xml:space="preserve"> </v>
      </c>
      <c r="N29" s="42"/>
      <c r="O29" s="42"/>
      <c r="P29" s="42"/>
      <c r="R29" s="43" t="str">
        <f>IFERROR(VLOOKUP(N29,'Calificación Controles'!$B$8:$AB$37,27,0)," ")</f>
        <v xml:space="preserve"> </v>
      </c>
      <c r="S29" s="43" t="str">
        <f>IFERROR(VLOOKUP(O29,'Calificación Controles'!$B$8:$AB$37,27,0)," ")</f>
        <v xml:space="preserve"> </v>
      </c>
      <c r="T29" s="43" t="str">
        <f>IFERROR(VLOOKUP(P29,'Calificación Controles'!$B$8:$AB$37,27,0), " ")</f>
        <v xml:space="preserve"> </v>
      </c>
      <c r="U29" s="49" t="str">
        <f t="shared" si="0"/>
        <v xml:space="preserve"> </v>
      </c>
      <c r="V29" s="49"/>
      <c r="W29" s="53" t="str">
        <f t="shared" si="4"/>
        <v xml:space="preserve"> </v>
      </c>
      <c r="X29" s="53">
        <f t="shared" si="5"/>
        <v>0</v>
      </c>
      <c r="Y29" s="65" t="str">
        <f t="shared" si="6"/>
        <v xml:space="preserve"> </v>
      </c>
      <c r="Z29" s="66" t="str">
        <f t="shared" si="14"/>
        <v xml:space="preserve"> </v>
      </c>
      <c r="AA29" s="66"/>
      <c r="AB29" s="66" t="str">
        <f t="shared" si="7"/>
        <v xml:space="preserve"> </v>
      </c>
      <c r="AC29" s="67">
        <f t="shared" si="8"/>
        <v>0</v>
      </c>
      <c r="AD29" s="66" t="str">
        <f t="shared" si="9"/>
        <v xml:space="preserve"> </v>
      </c>
      <c r="AE29" s="66" t="str">
        <f t="shared" si="10"/>
        <v xml:space="preserve"> </v>
      </c>
      <c r="AF29" s="66"/>
      <c r="AG29" s="67">
        <f t="shared" si="11"/>
        <v>0</v>
      </c>
    </row>
    <row r="30" spans="1:34" ht="30.75" customHeight="1" x14ac:dyDescent="0.3">
      <c r="A30" s="41">
        <f t="shared" si="12"/>
        <v>25</v>
      </c>
      <c r="D30" s="42"/>
      <c r="H30" s="41" t="str">
        <f t="shared" si="2"/>
        <v xml:space="preserve"> </v>
      </c>
      <c r="I30" s="63"/>
      <c r="K30" s="41" t="str">
        <f t="shared" si="3"/>
        <v xml:space="preserve"> </v>
      </c>
      <c r="L30" s="41"/>
      <c r="M30" s="41" t="str">
        <f t="shared" si="13"/>
        <v xml:space="preserve"> </v>
      </c>
      <c r="R30" s="43" t="str">
        <f>IFERROR(VLOOKUP(N30,'Calificación Controles'!$B$8:$AB$37,27,0)," ")</f>
        <v xml:space="preserve"> </v>
      </c>
      <c r="S30" s="43" t="str">
        <f>IFERROR(VLOOKUP(O30,'Calificación Controles'!$B$8:$AB$37,27,0)," ")</f>
        <v xml:space="preserve"> </v>
      </c>
      <c r="T30" s="43" t="str">
        <f>IFERROR(VLOOKUP(P30,'Calificación Controles'!$B$8:$AB$37,27,0), " ")</f>
        <v xml:space="preserve"> </v>
      </c>
      <c r="U30" s="49" t="str">
        <f t="shared" si="0"/>
        <v xml:space="preserve"> </v>
      </c>
      <c r="V30" s="49"/>
      <c r="W30" s="53" t="str">
        <f t="shared" si="4"/>
        <v xml:space="preserve"> </v>
      </c>
      <c r="X30" s="53">
        <f t="shared" si="5"/>
        <v>0</v>
      </c>
      <c r="Y30" s="65" t="str">
        <f t="shared" si="6"/>
        <v xml:space="preserve"> </v>
      </c>
      <c r="Z30" s="66" t="str">
        <f t="shared" si="14"/>
        <v xml:space="preserve"> </v>
      </c>
      <c r="AA30" s="66"/>
      <c r="AB30" s="66" t="str">
        <f t="shared" si="7"/>
        <v xml:space="preserve"> </v>
      </c>
      <c r="AC30" s="67">
        <f t="shared" si="8"/>
        <v>0</v>
      </c>
      <c r="AD30" s="66" t="str">
        <f t="shared" si="9"/>
        <v xml:space="preserve"> </v>
      </c>
      <c r="AE30" s="66" t="str">
        <f t="shared" si="10"/>
        <v xml:space="preserve"> </v>
      </c>
      <c r="AF30" s="66"/>
      <c r="AG30" s="67">
        <f t="shared" si="11"/>
        <v>0</v>
      </c>
      <c r="AH30" s="41"/>
    </row>
    <row r="31" spans="1:34" ht="30.75" customHeight="1" x14ac:dyDescent="0.3">
      <c r="A31" s="41">
        <f t="shared" si="12"/>
        <v>26</v>
      </c>
      <c r="D31" s="42"/>
      <c r="H31" s="41" t="str">
        <f t="shared" si="2"/>
        <v xml:space="preserve"> </v>
      </c>
      <c r="I31" s="63"/>
      <c r="K31" s="41" t="str">
        <f t="shared" si="3"/>
        <v xml:space="preserve"> </v>
      </c>
      <c r="L31" s="41"/>
      <c r="M31" s="41" t="str">
        <f t="shared" si="13"/>
        <v xml:space="preserve"> </v>
      </c>
      <c r="R31" s="43" t="str">
        <f>IFERROR(VLOOKUP(N31,'Calificación Controles'!$B$8:$AB$37,27,0)," ")</f>
        <v xml:space="preserve"> </v>
      </c>
      <c r="S31" s="43" t="str">
        <f>IFERROR(VLOOKUP(O31,'Calificación Controles'!$B$8:$AB$37,27,0)," ")</f>
        <v xml:space="preserve"> </v>
      </c>
      <c r="T31" s="43" t="str">
        <f>IFERROR(VLOOKUP(P31,'Calificación Controles'!$B$8:$AB$37,27,0), " ")</f>
        <v xml:space="preserve"> </v>
      </c>
      <c r="U31" s="49" t="str">
        <f t="shared" si="0"/>
        <v xml:space="preserve"> </v>
      </c>
      <c r="V31" s="49"/>
      <c r="W31" s="53" t="str">
        <f t="shared" si="4"/>
        <v xml:space="preserve"> </v>
      </c>
      <c r="X31" s="53">
        <f t="shared" si="5"/>
        <v>0</v>
      </c>
      <c r="Y31" s="65" t="str">
        <f t="shared" si="6"/>
        <v xml:space="preserve"> </v>
      </c>
      <c r="Z31" s="66" t="str">
        <f t="shared" si="14"/>
        <v xml:space="preserve"> </v>
      </c>
      <c r="AA31" s="66"/>
      <c r="AB31" s="66" t="str">
        <f t="shared" si="7"/>
        <v xml:space="preserve"> </v>
      </c>
      <c r="AC31" s="67">
        <f t="shared" si="8"/>
        <v>0</v>
      </c>
      <c r="AD31" s="66" t="str">
        <f t="shared" si="9"/>
        <v xml:space="preserve"> </v>
      </c>
      <c r="AE31" s="66" t="str">
        <f t="shared" si="10"/>
        <v xml:space="preserve"> </v>
      </c>
      <c r="AF31" s="66"/>
      <c r="AG31" s="67">
        <f t="shared" si="11"/>
        <v>0</v>
      </c>
      <c r="AH31" s="41"/>
    </row>
    <row r="32" spans="1:34" ht="30.75" customHeight="1" x14ac:dyDescent="0.3">
      <c r="A32" s="41">
        <f t="shared" si="12"/>
        <v>27</v>
      </c>
      <c r="D32" s="42"/>
      <c r="H32" s="41" t="str">
        <f t="shared" si="2"/>
        <v xml:space="preserve"> </v>
      </c>
      <c r="I32" s="63"/>
      <c r="K32" s="41" t="str">
        <f t="shared" si="3"/>
        <v xml:space="preserve"> </v>
      </c>
      <c r="L32" s="41"/>
      <c r="M32" s="41" t="str">
        <f t="shared" si="13"/>
        <v xml:space="preserve"> </v>
      </c>
      <c r="R32" s="43" t="str">
        <f>IFERROR(VLOOKUP(N32,'Calificación Controles'!$B$8:$AB$37,27,0)," ")</f>
        <v xml:space="preserve"> </v>
      </c>
      <c r="S32" s="43" t="str">
        <f>IFERROR(VLOOKUP(O32,'Calificación Controles'!$B$8:$AB$37,27,0)," ")</f>
        <v xml:space="preserve"> </v>
      </c>
      <c r="T32" s="43" t="str">
        <f>IFERROR(VLOOKUP(P32,'Calificación Controles'!$B$8:$AB$37,27,0), " ")</f>
        <v xml:space="preserve"> </v>
      </c>
      <c r="U32" s="49" t="str">
        <f t="shared" si="0"/>
        <v xml:space="preserve"> </v>
      </c>
      <c r="V32" s="49"/>
      <c r="W32" s="53" t="str">
        <f t="shared" si="4"/>
        <v xml:space="preserve"> </v>
      </c>
      <c r="X32" s="53">
        <f t="shared" si="5"/>
        <v>0</v>
      </c>
      <c r="Y32" s="65" t="str">
        <f t="shared" si="6"/>
        <v xml:space="preserve"> </v>
      </c>
      <c r="Z32" s="66" t="str">
        <f t="shared" si="14"/>
        <v xml:space="preserve"> </v>
      </c>
      <c r="AA32" s="66"/>
      <c r="AB32" s="66" t="str">
        <f t="shared" si="7"/>
        <v xml:space="preserve"> </v>
      </c>
      <c r="AC32" s="67">
        <f t="shared" si="8"/>
        <v>0</v>
      </c>
      <c r="AD32" s="66" t="str">
        <f t="shared" si="9"/>
        <v xml:space="preserve"> </v>
      </c>
      <c r="AE32" s="66" t="str">
        <f t="shared" si="10"/>
        <v xml:space="preserve"> </v>
      </c>
      <c r="AF32" s="66"/>
      <c r="AG32" s="67">
        <f t="shared" si="11"/>
        <v>0</v>
      </c>
      <c r="AH32" s="41"/>
    </row>
    <row r="33" spans="1:34" ht="30.75" customHeight="1" x14ac:dyDescent="0.3">
      <c r="A33" s="41">
        <f t="shared" si="12"/>
        <v>28</v>
      </c>
      <c r="D33" s="42"/>
      <c r="H33" s="41" t="str">
        <f t="shared" si="2"/>
        <v xml:space="preserve"> </v>
      </c>
      <c r="I33" s="63"/>
      <c r="K33" s="41" t="str">
        <f t="shared" si="3"/>
        <v xml:space="preserve"> </v>
      </c>
      <c r="L33" s="41"/>
      <c r="M33" s="41" t="str">
        <f t="shared" si="13"/>
        <v xml:space="preserve"> </v>
      </c>
      <c r="R33" s="43" t="str">
        <f>IFERROR(VLOOKUP(N33,'Calificación Controles'!$B$8:$AB$37,27,0)," ")</f>
        <v xml:space="preserve"> </v>
      </c>
      <c r="S33" s="43" t="str">
        <f>IFERROR(VLOOKUP(O33,'Calificación Controles'!$B$8:$AB$37,27,0)," ")</f>
        <v xml:space="preserve"> </v>
      </c>
      <c r="T33" s="43" t="str">
        <f>IFERROR(VLOOKUP(P33,'Calificación Controles'!$B$8:$AB$37,27,0), " ")</f>
        <v xml:space="preserve"> </v>
      </c>
      <c r="U33" s="49" t="str">
        <f t="shared" si="0"/>
        <v xml:space="preserve"> </v>
      </c>
      <c r="V33" s="49"/>
      <c r="W33" s="53" t="str">
        <f t="shared" si="4"/>
        <v xml:space="preserve"> </v>
      </c>
      <c r="X33" s="53">
        <f t="shared" si="5"/>
        <v>0</v>
      </c>
      <c r="Y33" s="65" t="str">
        <f t="shared" si="6"/>
        <v xml:space="preserve"> </v>
      </c>
      <c r="Z33" s="66" t="str">
        <f t="shared" si="14"/>
        <v xml:space="preserve"> </v>
      </c>
      <c r="AA33" s="66"/>
      <c r="AB33" s="66" t="str">
        <f t="shared" si="7"/>
        <v xml:space="preserve"> </v>
      </c>
      <c r="AC33" s="67">
        <f t="shared" si="8"/>
        <v>0</v>
      </c>
      <c r="AD33" s="66" t="str">
        <f t="shared" si="9"/>
        <v xml:space="preserve"> </v>
      </c>
      <c r="AE33" s="66" t="str">
        <f t="shared" si="10"/>
        <v xml:space="preserve"> </v>
      </c>
      <c r="AF33" s="66"/>
      <c r="AG33" s="67">
        <f t="shared" si="11"/>
        <v>0</v>
      </c>
      <c r="AH33" s="41"/>
    </row>
    <row r="34" spans="1:34" ht="30.75" customHeight="1" x14ac:dyDescent="0.3">
      <c r="A34" s="41">
        <f t="shared" si="12"/>
        <v>29</v>
      </c>
      <c r="D34" s="42"/>
      <c r="H34" s="41" t="str">
        <f t="shared" si="2"/>
        <v xml:space="preserve"> </v>
      </c>
      <c r="I34" s="63"/>
      <c r="K34" s="41" t="str">
        <f t="shared" si="3"/>
        <v xml:space="preserve"> </v>
      </c>
      <c r="L34" s="41"/>
      <c r="M34" s="41" t="str">
        <f t="shared" si="13"/>
        <v xml:space="preserve"> </v>
      </c>
      <c r="R34" s="43" t="str">
        <f>IFERROR(VLOOKUP(N34,'Calificación Controles'!$B$8:$AB$37,27,0)," ")</f>
        <v xml:space="preserve"> </v>
      </c>
      <c r="S34" s="43" t="str">
        <f>IFERROR(VLOOKUP(O34,'Calificación Controles'!$B$8:$AB$37,27,0)," ")</f>
        <v xml:space="preserve"> </v>
      </c>
      <c r="T34" s="43" t="str">
        <f>IFERROR(VLOOKUP(P34,'Calificación Controles'!$B$8:$AB$37,27,0), " ")</f>
        <v xml:space="preserve"> </v>
      </c>
      <c r="U34" s="49" t="str">
        <f t="shared" si="0"/>
        <v xml:space="preserve"> </v>
      </c>
      <c r="V34" s="49"/>
      <c r="W34" s="53" t="str">
        <f t="shared" si="4"/>
        <v xml:space="preserve"> </v>
      </c>
      <c r="X34" s="53">
        <f t="shared" si="5"/>
        <v>0</v>
      </c>
      <c r="Y34" s="65" t="str">
        <f t="shared" si="6"/>
        <v xml:space="preserve"> </v>
      </c>
      <c r="Z34" s="66"/>
      <c r="AA34" s="66"/>
      <c r="AB34" s="66" t="str">
        <f t="shared" si="7"/>
        <v xml:space="preserve"> </v>
      </c>
      <c r="AC34" s="67">
        <f t="shared" si="8"/>
        <v>0</v>
      </c>
      <c r="AD34" s="66" t="str">
        <f t="shared" si="9"/>
        <v xml:space="preserve"> </v>
      </c>
      <c r="AE34" s="66" t="str">
        <f t="shared" ref="AE34:AE43" si="15">IF(AD34&lt;=1,1,IF(AD34&gt;1,AD34," "))</f>
        <v xml:space="preserve"> </v>
      </c>
      <c r="AF34" s="66"/>
      <c r="AG34" s="67">
        <f t="shared" si="11"/>
        <v>0</v>
      </c>
      <c r="AH34" s="41"/>
    </row>
    <row r="35" spans="1:34" ht="30.75" customHeight="1" x14ac:dyDescent="0.3">
      <c r="A35" s="41">
        <f t="shared" si="12"/>
        <v>30</v>
      </c>
      <c r="D35" s="42"/>
      <c r="H35" s="41" t="str">
        <f t="shared" si="2"/>
        <v xml:space="preserve"> </v>
      </c>
      <c r="I35" s="63"/>
      <c r="K35" s="41" t="str">
        <f t="shared" si="3"/>
        <v xml:space="preserve"> </v>
      </c>
      <c r="L35" s="41"/>
      <c r="M35" s="41" t="str">
        <f t="shared" si="13"/>
        <v xml:space="preserve"> </v>
      </c>
      <c r="R35" s="43" t="str">
        <f>IFERROR(VLOOKUP(N35,'Calificación Controles'!$B$8:$AB$37,27,0)," ")</f>
        <v xml:space="preserve"> </v>
      </c>
      <c r="S35" s="43" t="str">
        <f>IFERROR(VLOOKUP(O35,'Calificación Controles'!$B$8:$AB$37,27,0)," ")</f>
        <v xml:space="preserve"> </v>
      </c>
      <c r="T35" s="43" t="str">
        <f>IFERROR(VLOOKUP(P35,'Calificación Controles'!$B$8:$AB$37,27,0), " ")</f>
        <v xml:space="preserve"> </v>
      </c>
      <c r="U35" s="49" t="str">
        <f t="shared" si="0"/>
        <v xml:space="preserve"> </v>
      </c>
      <c r="V35" s="49"/>
      <c r="W35" s="53" t="str">
        <f t="shared" si="4"/>
        <v xml:space="preserve"> </v>
      </c>
      <c r="X35" s="53">
        <f t="shared" si="5"/>
        <v>0</v>
      </c>
      <c r="Y35" s="65" t="str">
        <f t="shared" si="6"/>
        <v xml:space="preserve"> </v>
      </c>
      <c r="Z35" s="66"/>
      <c r="AA35" s="66"/>
      <c r="AB35" s="66" t="str">
        <f t="shared" si="7"/>
        <v xml:space="preserve"> </v>
      </c>
      <c r="AC35" s="67">
        <f t="shared" si="8"/>
        <v>0</v>
      </c>
      <c r="AD35" s="66" t="str">
        <f t="shared" si="9"/>
        <v xml:space="preserve"> </v>
      </c>
      <c r="AE35" s="66" t="str">
        <f t="shared" si="15"/>
        <v xml:space="preserve"> </v>
      </c>
      <c r="AF35" s="66"/>
      <c r="AG35" s="67">
        <f t="shared" si="11"/>
        <v>0</v>
      </c>
      <c r="AH35" s="41"/>
    </row>
    <row r="36" spans="1:34" ht="30.75" customHeight="1" x14ac:dyDescent="0.3">
      <c r="A36" s="41">
        <f t="shared" si="12"/>
        <v>31</v>
      </c>
      <c r="D36" s="42"/>
      <c r="H36" s="41" t="str">
        <f t="shared" si="2"/>
        <v xml:space="preserve"> </v>
      </c>
      <c r="I36" s="63"/>
      <c r="K36" s="41" t="str">
        <f t="shared" si="3"/>
        <v xml:space="preserve"> </v>
      </c>
      <c r="L36" s="41"/>
      <c r="M36" s="41" t="str">
        <f t="shared" si="13"/>
        <v xml:space="preserve"> </v>
      </c>
      <c r="R36" s="43" t="str">
        <f>IFERROR(VLOOKUP(N36,'Calificación Controles'!$B$8:$AB$37,27,0)," ")</f>
        <v xml:space="preserve"> </v>
      </c>
      <c r="S36" s="43" t="str">
        <f>IFERROR(VLOOKUP(O36,'Calificación Controles'!$B$8:$AB$37,27,0)," ")</f>
        <v xml:space="preserve"> </v>
      </c>
      <c r="T36" s="43" t="str">
        <f>IFERROR(VLOOKUP(P36,'Calificación Controles'!$B$8:$AB$37,27,0), " ")</f>
        <v xml:space="preserve"> </v>
      </c>
      <c r="U36" s="49" t="str">
        <f t="shared" si="0"/>
        <v xml:space="preserve"> </v>
      </c>
      <c r="V36" s="49"/>
      <c r="W36" s="53" t="str">
        <f t="shared" si="4"/>
        <v xml:space="preserve"> </v>
      </c>
      <c r="X36" s="53">
        <f t="shared" si="5"/>
        <v>0</v>
      </c>
      <c r="Y36" s="65" t="str">
        <f t="shared" si="6"/>
        <v xml:space="preserve"> </v>
      </c>
      <c r="Z36" s="66"/>
      <c r="AA36" s="66"/>
      <c r="AB36" s="66" t="str">
        <f t="shared" si="7"/>
        <v xml:space="preserve"> </v>
      </c>
      <c r="AC36" s="67">
        <f t="shared" si="8"/>
        <v>0</v>
      </c>
      <c r="AD36" s="66" t="str">
        <f t="shared" si="9"/>
        <v xml:space="preserve"> </v>
      </c>
      <c r="AE36" s="66" t="str">
        <f t="shared" si="15"/>
        <v xml:space="preserve"> </v>
      </c>
      <c r="AF36" s="66"/>
      <c r="AG36" s="67">
        <f t="shared" si="11"/>
        <v>0</v>
      </c>
      <c r="AH36" s="41"/>
    </row>
    <row r="37" spans="1:34" ht="30.75" customHeight="1" x14ac:dyDescent="0.3">
      <c r="A37" s="41">
        <f t="shared" si="12"/>
        <v>32</v>
      </c>
      <c r="D37" s="42"/>
      <c r="H37" s="41" t="str">
        <f t="shared" si="2"/>
        <v xml:space="preserve"> </v>
      </c>
      <c r="I37" s="63"/>
      <c r="K37" s="41" t="str">
        <f t="shared" si="3"/>
        <v xml:space="preserve"> </v>
      </c>
      <c r="L37" s="41"/>
      <c r="M37" s="41" t="str">
        <f t="shared" si="13"/>
        <v xml:space="preserve"> </v>
      </c>
      <c r="R37" s="43" t="str">
        <f>IFERROR(VLOOKUP(N37,'Calificación Controles'!$B$8:$AB$37,27,0)," ")</f>
        <v xml:space="preserve"> </v>
      </c>
      <c r="S37" s="43" t="str">
        <f>IFERROR(VLOOKUP(O37,'Calificación Controles'!$B$8:$AB$37,27,0)," ")</f>
        <v xml:space="preserve"> </v>
      </c>
      <c r="T37" s="43" t="str">
        <f>IFERROR(VLOOKUP(P37,'Calificación Controles'!$B$8:$AB$37,27,0), " ")</f>
        <v xml:space="preserve"> </v>
      </c>
      <c r="U37" s="49" t="str">
        <f t="shared" si="0"/>
        <v xml:space="preserve"> </v>
      </c>
      <c r="V37" s="49"/>
      <c r="W37" s="53" t="str">
        <f t="shared" si="4"/>
        <v xml:space="preserve"> </v>
      </c>
      <c r="X37" s="53">
        <f t="shared" si="5"/>
        <v>0</v>
      </c>
      <c r="Y37" s="65" t="str">
        <f t="shared" si="6"/>
        <v xml:space="preserve"> </v>
      </c>
      <c r="Z37" s="66"/>
      <c r="AA37" s="66"/>
      <c r="AB37" s="66" t="str">
        <f t="shared" si="7"/>
        <v xml:space="preserve"> </v>
      </c>
      <c r="AC37" s="67">
        <f t="shared" si="8"/>
        <v>0</v>
      </c>
      <c r="AD37" s="66" t="str">
        <f t="shared" si="9"/>
        <v xml:space="preserve"> </v>
      </c>
      <c r="AE37" s="66" t="str">
        <f t="shared" si="15"/>
        <v xml:space="preserve"> </v>
      </c>
      <c r="AF37" s="66"/>
      <c r="AG37" s="67">
        <f t="shared" si="11"/>
        <v>0</v>
      </c>
      <c r="AH37" s="41"/>
    </row>
    <row r="38" spans="1:34" ht="30.75" customHeight="1" x14ac:dyDescent="0.3">
      <c r="A38" s="41">
        <f t="shared" si="12"/>
        <v>33</v>
      </c>
      <c r="D38" s="42"/>
      <c r="H38" s="41" t="str">
        <f t="shared" si="2"/>
        <v xml:space="preserve"> </v>
      </c>
      <c r="I38" s="63"/>
      <c r="K38" s="41" t="str">
        <f t="shared" si="3"/>
        <v xml:space="preserve"> </v>
      </c>
      <c r="L38" s="41"/>
      <c r="M38" s="41" t="str">
        <f t="shared" si="13"/>
        <v xml:space="preserve"> </v>
      </c>
      <c r="R38" s="43" t="str">
        <f>IFERROR(VLOOKUP(N38,'Calificación Controles'!$B$8:$AB$37,27,0)," ")</f>
        <v xml:space="preserve"> </v>
      </c>
      <c r="S38" s="43" t="str">
        <f>IFERROR(VLOOKUP(O38,'Calificación Controles'!$B$8:$AB$37,27,0)," ")</f>
        <v xml:space="preserve"> </v>
      </c>
      <c r="T38" s="43" t="str">
        <f>IFERROR(VLOOKUP(P38,'Calificación Controles'!$B$8:$AB$37,27,0), " ")</f>
        <v xml:space="preserve"> </v>
      </c>
      <c r="U38" s="49" t="str">
        <f t="shared" si="0"/>
        <v xml:space="preserve"> </v>
      </c>
      <c r="V38" s="49"/>
      <c r="W38" s="53" t="str">
        <f t="shared" si="4"/>
        <v xml:space="preserve"> </v>
      </c>
      <c r="X38" s="53">
        <f t="shared" si="5"/>
        <v>0</v>
      </c>
      <c r="Y38" s="65" t="str">
        <f t="shared" si="6"/>
        <v xml:space="preserve"> </v>
      </c>
      <c r="Z38" s="66"/>
      <c r="AA38" s="66"/>
      <c r="AB38" s="66" t="str">
        <f t="shared" si="7"/>
        <v xml:space="preserve"> </v>
      </c>
      <c r="AC38" s="67">
        <f t="shared" si="8"/>
        <v>0</v>
      </c>
      <c r="AD38" s="66" t="str">
        <f t="shared" si="9"/>
        <v xml:space="preserve"> </v>
      </c>
      <c r="AE38" s="66" t="str">
        <f t="shared" si="15"/>
        <v xml:space="preserve"> </v>
      </c>
      <c r="AF38" s="66"/>
      <c r="AG38" s="67">
        <f t="shared" si="11"/>
        <v>0</v>
      </c>
      <c r="AH38" s="41"/>
    </row>
    <row r="39" spans="1:34" ht="30.75" customHeight="1" x14ac:dyDescent="0.3">
      <c r="A39" s="41">
        <f t="shared" si="12"/>
        <v>34</v>
      </c>
      <c r="D39" s="42"/>
      <c r="H39" s="41" t="str">
        <f t="shared" si="2"/>
        <v xml:space="preserve"> </v>
      </c>
      <c r="I39" s="63"/>
      <c r="K39" s="41" t="str">
        <f t="shared" si="3"/>
        <v xml:space="preserve"> </v>
      </c>
      <c r="L39" s="41"/>
      <c r="M39" s="41" t="str">
        <f t="shared" si="13"/>
        <v xml:space="preserve"> </v>
      </c>
      <c r="R39" s="43" t="str">
        <f>IFERROR(VLOOKUP(N39,'Calificación Controles'!$B$8:$AB$37,27,0)," ")</f>
        <v xml:space="preserve"> </v>
      </c>
      <c r="S39" s="43" t="str">
        <f>IFERROR(VLOOKUP(O39,'Calificación Controles'!$B$8:$AB$37,27,0)," ")</f>
        <v xml:space="preserve"> </v>
      </c>
      <c r="T39" s="43" t="str">
        <f>IFERROR(VLOOKUP(P39,'Calificación Controles'!$B$8:$AB$37,27,0), " ")</f>
        <v xml:space="preserve"> </v>
      </c>
      <c r="U39" s="49" t="str">
        <f t="shared" si="0"/>
        <v xml:space="preserve"> </v>
      </c>
      <c r="V39" s="49"/>
      <c r="W39" s="53" t="str">
        <f t="shared" si="4"/>
        <v xml:space="preserve"> </v>
      </c>
      <c r="X39" s="53">
        <f t="shared" si="5"/>
        <v>0</v>
      </c>
      <c r="Y39" s="65" t="str">
        <f t="shared" si="6"/>
        <v xml:space="preserve"> </v>
      </c>
      <c r="Z39" s="66"/>
      <c r="AA39" s="66"/>
      <c r="AB39" s="66" t="str">
        <f t="shared" si="7"/>
        <v xml:space="preserve"> </v>
      </c>
      <c r="AC39" s="67">
        <f t="shared" si="8"/>
        <v>0</v>
      </c>
      <c r="AD39" s="66" t="str">
        <f t="shared" si="9"/>
        <v xml:space="preserve"> </v>
      </c>
      <c r="AE39" s="66" t="str">
        <f t="shared" si="15"/>
        <v xml:space="preserve"> </v>
      </c>
      <c r="AF39" s="66"/>
      <c r="AG39" s="67">
        <f t="shared" si="11"/>
        <v>0</v>
      </c>
      <c r="AH39" s="41"/>
    </row>
    <row r="40" spans="1:34" ht="30.75" customHeight="1" x14ac:dyDescent="0.3">
      <c r="A40" s="41">
        <f t="shared" si="12"/>
        <v>35</v>
      </c>
      <c r="D40" s="42"/>
      <c r="H40" s="41" t="str">
        <f t="shared" si="2"/>
        <v xml:space="preserve"> </v>
      </c>
      <c r="I40" s="63"/>
      <c r="K40" s="41" t="str">
        <f t="shared" si="3"/>
        <v xml:space="preserve"> </v>
      </c>
      <c r="L40" s="41"/>
      <c r="M40" s="41" t="str">
        <f t="shared" si="13"/>
        <v xml:space="preserve"> </v>
      </c>
      <c r="R40" s="43" t="str">
        <f>IFERROR(VLOOKUP(N40,'Calificación Controles'!$B$8:$AB$37,27,0)," ")</f>
        <v xml:space="preserve"> </v>
      </c>
      <c r="S40" s="43" t="str">
        <f>IFERROR(VLOOKUP(O40,'Calificación Controles'!$B$8:$AB$37,27,0)," ")</f>
        <v xml:space="preserve"> </v>
      </c>
      <c r="T40" s="43" t="str">
        <f>IFERROR(VLOOKUP(P40,'Calificación Controles'!$B$8:$AB$37,27,0), " ")</f>
        <v xml:space="preserve"> </v>
      </c>
      <c r="U40" s="49" t="str">
        <f t="shared" si="0"/>
        <v xml:space="preserve"> </v>
      </c>
      <c r="V40" s="49"/>
      <c r="W40" s="53" t="str">
        <f t="shared" si="4"/>
        <v xml:space="preserve"> </v>
      </c>
      <c r="X40" s="53">
        <f t="shared" si="5"/>
        <v>0</v>
      </c>
      <c r="Y40" s="65" t="str">
        <f t="shared" si="6"/>
        <v xml:space="preserve"> </v>
      </c>
      <c r="Z40" s="66"/>
      <c r="AA40" s="66"/>
      <c r="AB40" s="66" t="str">
        <f t="shared" si="7"/>
        <v xml:space="preserve"> </v>
      </c>
      <c r="AC40" s="67">
        <f t="shared" si="8"/>
        <v>0</v>
      </c>
      <c r="AD40" s="66" t="str">
        <f t="shared" si="9"/>
        <v xml:space="preserve"> </v>
      </c>
      <c r="AE40" s="66" t="str">
        <f t="shared" si="15"/>
        <v xml:space="preserve"> </v>
      </c>
      <c r="AF40" s="66"/>
      <c r="AG40" s="67">
        <f t="shared" si="11"/>
        <v>0</v>
      </c>
      <c r="AH40" s="41"/>
    </row>
    <row r="41" spans="1:34" ht="30.75" customHeight="1" x14ac:dyDescent="0.3">
      <c r="A41" s="41">
        <f t="shared" si="12"/>
        <v>36</v>
      </c>
      <c r="D41" s="42"/>
      <c r="H41" s="41" t="str">
        <f t="shared" si="2"/>
        <v xml:space="preserve"> </v>
      </c>
      <c r="I41" s="63"/>
      <c r="K41" s="41" t="str">
        <f t="shared" si="3"/>
        <v xml:space="preserve"> </v>
      </c>
      <c r="L41" s="41"/>
      <c r="M41" s="41" t="str">
        <f t="shared" si="13"/>
        <v xml:space="preserve"> </v>
      </c>
      <c r="R41" s="43" t="str">
        <f>IFERROR(VLOOKUP(N41,'Calificación Controles'!$B$8:$AB$37,27,0)," ")</f>
        <v xml:space="preserve"> </v>
      </c>
      <c r="S41" s="43" t="str">
        <f>IFERROR(VLOOKUP(O41,'Calificación Controles'!$B$8:$AB$37,27,0)," ")</f>
        <v xml:space="preserve"> </v>
      </c>
      <c r="T41" s="43" t="str">
        <f>IFERROR(VLOOKUP(P41,'Calificación Controles'!$B$8:$AB$37,27,0), " ")</f>
        <v xml:space="preserve"> </v>
      </c>
      <c r="U41" s="49" t="str">
        <f t="shared" si="0"/>
        <v xml:space="preserve"> </v>
      </c>
      <c r="V41" s="49"/>
      <c r="W41" s="53" t="str">
        <f t="shared" si="4"/>
        <v xml:space="preserve"> </v>
      </c>
      <c r="X41" s="53">
        <f t="shared" si="5"/>
        <v>0</v>
      </c>
      <c r="Y41" s="65" t="str">
        <f t="shared" si="6"/>
        <v xml:space="preserve"> </v>
      </c>
      <c r="Z41" s="66"/>
      <c r="AA41" s="66"/>
      <c r="AB41" s="66" t="str">
        <f t="shared" si="7"/>
        <v xml:space="preserve"> </v>
      </c>
      <c r="AC41" s="67">
        <f t="shared" si="8"/>
        <v>0</v>
      </c>
      <c r="AD41" s="66" t="str">
        <f t="shared" si="9"/>
        <v xml:space="preserve"> </v>
      </c>
      <c r="AE41" s="66" t="str">
        <f t="shared" si="15"/>
        <v xml:space="preserve"> </v>
      </c>
      <c r="AF41" s="66"/>
      <c r="AG41" s="67">
        <f t="shared" si="11"/>
        <v>0</v>
      </c>
      <c r="AH41" s="41"/>
    </row>
    <row r="42" spans="1:34" ht="30.75" customHeight="1" x14ac:dyDescent="0.3">
      <c r="A42" s="41">
        <f t="shared" si="12"/>
        <v>37</v>
      </c>
      <c r="D42" s="42"/>
      <c r="H42" s="41" t="str">
        <f t="shared" si="2"/>
        <v xml:space="preserve"> </v>
      </c>
      <c r="I42" s="63"/>
      <c r="K42" s="41" t="str">
        <f t="shared" si="3"/>
        <v xml:space="preserve"> </v>
      </c>
      <c r="L42" s="41"/>
      <c r="M42" s="41" t="str">
        <f t="shared" si="13"/>
        <v xml:space="preserve"> </v>
      </c>
      <c r="R42" s="43" t="str">
        <f>IFERROR(VLOOKUP(N42,'Calificación Controles'!$B$8:$AB$37,27,0)," ")</f>
        <v xml:space="preserve"> </v>
      </c>
      <c r="S42" s="43" t="str">
        <f>IFERROR(VLOOKUP(O42,'Calificación Controles'!$B$8:$AB$37,27,0)," ")</f>
        <v xml:space="preserve"> </v>
      </c>
      <c r="T42" s="43" t="str">
        <f>IFERROR(VLOOKUP(P42,'Calificación Controles'!$B$8:$AB$37,27,0), " ")</f>
        <v xml:space="preserve"> </v>
      </c>
      <c r="U42" s="49" t="str">
        <f t="shared" si="0"/>
        <v xml:space="preserve"> </v>
      </c>
      <c r="V42" s="49"/>
      <c r="W42" s="53" t="str">
        <f t="shared" si="4"/>
        <v xml:space="preserve"> </v>
      </c>
      <c r="X42" s="53">
        <f t="shared" si="5"/>
        <v>0</v>
      </c>
      <c r="Y42" s="65" t="str">
        <f t="shared" si="6"/>
        <v xml:space="preserve"> </v>
      </c>
      <c r="Z42" s="66"/>
      <c r="AA42" s="66"/>
      <c r="AB42" s="66" t="str">
        <f t="shared" si="7"/>
        <v xml:space="preserve"> </v>
      </c>
      <c r="AC42" s="67">
        <f t="shared" si="8"/>
        <v>0</v>
      </c>
      <c r="AD42" s="66" t="str">
        <f t="shared" si="9"/>
        <v xml:space="preserve"> </v>
      </c>
      <c r="AE42" s="66" t="str">
        <f t="shared" si="15"/>
        <v xml:space="preserve"> </v>
      </c>
      <c r="AF42" s="66"/>
      <c r="AG42" s="67">
        <f t="shared" si="11"/>
        <v>0</v>
      </c>
      <c r="AH42" s="41"/>
    </row>
    <row r="43" spans="1:34" ht="30.75" customHeight="1" x14ac:dyDescent="0.3">
      <c r="A43" s="41">
        <f t="shared" si="12"/>
        <v>38</v>
      </c>
      <c r="D43" s="42"/>
      <c r="H43" s="41" t="str">
        <f t="shared" si="2"/>
        <v xml:space="preserve"> </v>
      </c>
      <c r="I43" s="63"/>
      <c r="K43" s="41" t="str">
        <f t="shared" si="3"/>
        <v xml:space="preserve"> </v>
      </c>
      <c r="L43" s="41"/>
      <c r="M43" s="41" t="str">
        <f t="shared" si="13"/>
        <v xml:space="preserve"> </v>
      </c>
      <c r="R43" s="43" t="str">
        <f>IFERROR(VLOOKUP(N43,'Calificación Controles'!$B$8:$AB$37,27,0)," ")</f>
        <v xml:space="preserve"> </v>
      </c>
      <c r="S43" s="43" t="str">
        <f>IFERROR(VLOOKUP(O43,'Calificación Controles'!$B$8:$AB$37,27,0)," ")</f>
        <v xml:space="preserve"> </v>
      </c>
      <c r="T43" s="43" t="str">
        <f>IFERROR(VLOOKUP(P43,'Calificación Controles'!$B$8:$AB$37,27,0), " ")</f>
        <v xml:space="preserve"> </v>
      </c>
      <c r="U43" s="49" t="str">
        <f t="shared" si="0"/>
        <v xml:space="preserve"> </v>
      </c>
      <c r="V43" s="49"/>
      <c r="W43" s="53" t="str">
        <f t="shared" si="4"/>
        <v xml:space="preserve"> </v>
      </c>
      <c r="X43" s="53">
        <f t="shared" si="5"/>
        <v>0</v>
      </c>
      <c r="Y43" s="65" t="str">
        <f t="shared" si="6"/>
        <v xml:space="preserve"> </v>
      </c>
      <c r="Z43" s="66"/>
      <c r="AA43" s="66"/>
      <c r="AB43" s="66" t="str">
        <f t="shared" si="7"/>
        <v xml:space="preserve"> </v>
      </c>
      <c r="AC43" s="67">
        <f t="shared" si="8"/>
        <v>0</v>
      </c>
      <c r="AD43" s="66" t="str">
        <f t="shared" si="9"/>
        <v xml:space="preserve"> </v>
      </c>
      <c r="AE43" s="66" t="str">
        <f t="shared" si="15"/>
        <v xml:space="preserve"> </v>
      </c>
      <c r="AF43" s="66"/>
      <c r="AG43" s="67">
        <f t="shared" si="11"/>
        <v>0</v>
      </c>
      <c r="AH43" s="41"/>
    </row>
    <row r="44" spans="1:34" ht="30.75" customHeight="1" x14ac:dyDescent="0.3">
      <c r="A44" s="41">
        <f t="shared" si="12"/>
        <v>39</v>
      </c>
      <c r="D44" s="42"/>
      <c r="H44" s="41" t="str">
        <f t="shared" si="2"/>
        <v xml:space="preserve"> </v>
      </c>
      <c r="I44" s="63"/>
      <c r="K44" s="41" t="str">
        <f t="shared" si="3"/>
        <v xml:space="preserve"> </v>
      </c>
      <c r="L44" s="41"/>
      <c r="M44" s="41" t="str">
        <f t="shared" si="13"/>
        <v xml:space="preserve"> </v>
      </c>
      <c r="R44" s="43" t="str">
        <f>IFERROR(VLOOKUP(N44,'Calificación Controles'!$B$8:$AB$37,27,0)," ")</f>
        <v xml:space="preserve"> </v>
      </c>
      <c r="S44" s="43" t="str">
        <f>IFERROR(VLOOKUP(O44,'Calificación Controles'!$B$8:$AB$37,27,0)," ")</f>
        <v xml:space="preserve"> </v>
      </c>
      <c r="T44" s="43" t="str">
        <f>IFERROR(VLOOKUP(P44,'Calificación Controles'!$B$8:$AB$37,27,0), " ")</f>
        <v xml:space="preserve"> </v>
      </c>
      <c r="U44" s="49" t="str">
        <f t="shared" si="0"/>
        <v xml:space="preserve"> </v>
      </c>
      <c r="V44" s="49"/>
      <c r="W44" s="53" t="str">
        <f t="shared" si="4"/>
        <v xml:space="preserve"> </v>
      </c>
      <c r="X44" s="53">
        <f t="shared" si="5"/>
        <v>0</v>
      </c>
      <c r="Y44" s="65" t="str">
        <f t="shared" si="6"/>
        <v xml:space="preserve"> </v>
      </c>
      <c r="Z44" s="66"/>
      <c r="AA44" s="66"/>
      <c r="AB44" s="66" t="str">
        <f t="shared" si="7"/>
        <v xml:space="preserve"> </v>
      </c>
      <c r="AC44" s="67">
        <f t="shared" si="8"/>
        <v>0</v>
      </c>
      <c r="AD44" s="66" t="str">
        <f t="shared" si="9"/>
        <v xml:space="preserve"> </v>
      </c>
      <c r="AE44" s="66"/>
      <c r="AF44" s="66"/>
      <c r="AG44" s="67">
        <f t="shared" si="11"/>
        <v>0</v>
      </c>
      <c r="AH44" s="41"/>
    </row>
    <row r="45" spans="1:34" ht="30.75" customHeight="1" x14ac:dyDescent="0.3">
      <c r="A45" s="41">
        <f t="shared" si="12"/>
        <v>40</v>
      </c>
      <c r="D45" s="42"/>
      <c r="H45" s="41" t="str">
        <f t="shared" si="2"/>
        <v xml:space="preserve"> </v>
      </c>
      <c r="I45" s="63"/>
      <c r="K45" s="41" t="str">
        <f t="shared" si="3"/>
        <v xml:space="preserve"> </v>
      </c>
      <c r="L45" s="41"/>
      <c r="M45" s="41" t="str">
        <f t="shared" si="13"/>
        <v xml:space="preserve"> </v>
      </c>
      <c r="R45" s="43" t="str">
        <f>IFERROR(VLOOKUP(N45,'Calificación Controles'!$B$8:$AB$37,27,0)," ")</f>
        <v xml:space="preserve"> </v>
      </c>
      <c r="S45" s="43" t="str">
        <f>IFERROR(VLOOKUP(O45,'Calificación Controles'!$B$8:$AB$37,27,0)," ")</f>
        <v xml:space="preserve"> </v>
      </c>
      <c r="T45" s="43" t="str">
        <f>IFERROR(VLOOKUP(P45,'Calificación Controles'!$B$8:$AB$37,27,0), " ")</f>
        <v xml:space="preserve"> </v>
      </c>
      <c r="U45" s="49" t="str">
        <f t="shared" si="0"/>
        <v xml:space="preserve"> </v>
      </c>
      <c r="V45" s="49"/>
      <c r="W45" s="53" t="str">
        <f t="shared" si="4"/>
        <v xml:space="preserve"> </v>
      </c>
      <c r="X45" s="53">
        <f t="shared" si="5"/>
        <v>0</v>
      </c>
      <c r="Y45" s="65" t="str">
        <f t="shared" si="6"/>
        <v xml:space="preserve"> </v>
      </c>
      <c r="Z45" s="66"/>
      <c r="AA45" s="66"/>
      <c r="AB45" s="66" t="str">
        <f t="shared" si="7"/>
        <v xml:space="preserve"> </v>
      </c>
      <c r="AC45" s="67">
        <f t="shared" si="8"/>
        <v>0</v>
      </c>
      <c r="AD45" s="66" t="str">
        <f t="shared" si="9"/>
        <v xml:space="preserve"> </v>
      </c>
      <c r="AE45" s="66"/>
      <c r="AF45" s="66"/>
      <c r="AG45" s="67">
        <f t="shared" si="11"/>
        <v>0</v>
      </c>
      <c r="AH45" s="41"/>
    </row>
    <row r="46" spans="1:34" ht="30.75" customHeight="1" x14ac:dyDescent="0.3">
      <c r="A46" s="41">
        <f t="shared" si="12"/>
        <v>41</v>
      </c>
      <c r="D46" s="42"/>
      <c r="H46" s="41" t="str">
        <f t="shared" si="2"/>
        <v xml:space="preserve"> </v>
      </c>
      <c r="I46" s="63"/>
      <c r="K46" s="41" t="str">
        <f t="shared" si="3"/>
        <v xml:space="preserve"> </v>
      </c>
      <c r="L46" s="41"/>
      <c r="M46" s="41" t="str">
        <f t="shared" si="13"/>
        <v xml:space="preserve"> </v>
      </c>
      <c r="R46" s="43" t="str">
        <f>IFERROR(VLOOKUP(N46,'Calificación Controles'!$B$8:$AB$37,27,0)," ")</f>
        <v xml:space="preserve"> </v>
      </c>
      <c r="S46" s="43" t="str">
        <f>IFERROR(VLOOKUP(O46,'Calificación Controles'!$B$8:$AB$37,27,0)," ")</f>
        <v xml:space="preserve"> </v>
      </c>
      <c r="T46" s="43" t="str">
        <f>IFERROR(VLOOKUP(P46,'Calificación Controles'!$B$8:$AB$37,27,0), " ")</f>
        <v xml:space="preserve"> </v>
      </c>
      <c r="U46" s="49" t="str">
        <f t="shared" si="0"/>
        <v xml:space="preserve"> </v>
      </c>
      <c r="V46" s="49"/>
      <c r="W46" s="53" t="str">
        <f t="shared" si="4"/>
        <v xml:space="preserve"> </v>
      </c>
      <c r="X46" s="53">
        <f t="shared" si="5"/>
        <v>0</v>
      </c>
      <c r="Y46" s="65" t="str">
        <f t="shared" si="6"/>
        <v xml:space="preserve"> </v>
      </c>
      <c r="Z46" s="66"/>
      <c r="AA46" s="66"/>
      <c r="AB46" s="66" t="str">
        <f t="shared" si="7"/>
        <v xml:space="preserve"> </v>
      </c>
      <c r="AC46" s="67">
        <f t="shared" si="8"/>
        <v>0</v>
      </c>
      <c r="AD46" s="66" t="str">
        <f t="shared" si="9"/>
        <v xml:space="preserve"> </v>
      </c>
      <c r="AE46" s="66"/>
      <c r="AF46" s="66"/>
      <c r="AG46" s="67">
        <f t="shared" si="11"/>
        <v>0</v>
      </c>
      <c r="AH46" s="41"/>
    </row>
    <row r="47" spans="1:34" ht="30.75" customHeight="1" x14ac:dyDescent="0.3">
      <c r="A47" s="41">
        <f t="shared" si="12"/>
        <v>42</v>
      </c>
      <c r="D47" s="42"/>
      <c r="H47" s="41" t="str">
        <f t="shared" si="2"/>
        <v xml:space="preserve"> </v>
      </c>
      <c r="I47" s="63"/>
      <c r="K47" s="41" t="str">
        <f t="shared" si="3"/>
        <v xml:space="preserve"> </v>
      </c>
      <c r="L47" s="41"/>
      <c r="M47" s="41" t="str">
        <f t="shared" si="13"/>
        <v xml:space="preserve"> </v>
      </c>
      <c r="R47" s="43" t="str">
        <f>IFERROR(VLOOKUP(N47,'Calificación Controles'!$B$8:$AB$37,27,0)," ")</f>
        <v xml:space="preserve"> </v>
      </c>
      <c r="S47" s="43" t="str">
        <f>IFERROR(VLOOKUP(O47,'Calificación Controles'!$B$8:$AB$37,27,0)," ")</f>
        <v xml:space="preserve"> </v>
      </c>
      <c r="T47" s="43" t="str">
        <f>IFERROR(VLOOKUP(P47,'Calificación Controles'!$B$8:$AB$37,27,0), " ")</f>
        <v xml:space="preserve"> </v>
      </c>
      <c r="U47" s="49" t="str">
        <f t="shared" si="0"/>
        <v xml:space="preserve"> </v>
      </c>
      <c r="V47" s="49"/>
      <c r="W47" s="53" t="str">
        <f t="shared" si="4"/>
        <v xml:space="preserve"> </v>
      </c>
      <c r="X47" s="53">
        <f t="shared" si="5"/>
        <v>0</v>
      </c>
      <c r="Y47" s="65" t="str">
        <f t="shared" si="6"/>
        <v xml:space="preserve"> </v>
      </c>
      <c r="Z47" s="66"/>
      <c r="AA47" s="66"/>
      <c r="AB47" s="66" t="str">
        <f t="shared" si="7"/>
        <v xml:space="preserve"> </v>
      </c>
      <c r="AC47" s="67">
        <f t="shared" si="8"/>
        <v>0</v>
      </c>
      <c r="AD47" s="66" t="str">
        <f t="shared" si="9"/>
        <v xml:space="preserve"> </v>
      </c>
      <c r="AE47" s="66"/>
      <c r="AF47" s="66"/>
      <c r="AG47" s="67">
        <f t="shared" si="11"/>
        <v>0</v>
      </c>
      <c r="AH47" s="41"/>
    </row>
    <row r="48" spans="1:34" ht="30.75" customHeight="1" x14ac:dyDescent="0.3">
      <c r="A48" s="41">
        <f t="shared" si="12"/>
        <v>43</v>
      </c>
      <c r="D48" s="42"/>
      <c r="H48" s="41" t="str">
        <f t="shared" si="2"/>
        <v xml:space="preserve"> </v>
      </c>
      <c r="I48" s="63"/>
      <c r="K48" s="41" t="str">
        <f t="shared" si="3"/>
        <v xml:space="preserve"> </v>
      </c>
      <c r="L48" s="41"/>
      <c r="M48" s="41" t="str">
        <f t="shared" si="13"/>
        <v xml:space="preserve"> </v>
      </c>
      <c r="R48" s="43" t="str">
        <f>IFERROR(VLOOKUP(N48,'Calificación Controles'!$B$8:$AB$37,27,0)," ")</f>
        <v xml:space="preserve"> </v>
      </c>
      <c r="S48" s="43" t="str">
        <f>IFERROR(VLOOKUP(O48,'Calificación Controles'!$B$8:$AB$37,27,0)," ")</f>
        <v xml:space="preserve"> </v>
      </c>
      <c r="T48" s="43" t="str">
        <f>IFERROR(VLOOKUP(P48,'Calificación Controles'!$B$8:$AB$37,27,0), " ")</f>
        <v xml:space="preserve"> </v>
      </c>
      <c r="U48" s="49" t="str">
        <f t="shared" si="0"/>
        <v xml:space="preserve"> </v>
      </c>
      <c r="V48" s="49"/>
      <c r="W48" s="53" t="str">
        <f t="shared" si="4"/>
        <v xml:space="preserve"> </v>
      </c>
      <c r="X48" s="53">
        <f t="shared" si="5"/>
        <v>0</v>
      </c>
      <c r="Y48" s="65" t="str">
        <f t="shared" si="6"/>
        <v xml:space="preserve"> </v>
      </c>
      <c r="Z48" s="66"/>
      <c r="AA48" s="66"/>
      <c r="AB48" s="66" t="str">
        <f t="shared" si="7"/>
        <v xml:space="preserve"> </v>
      </c>
      <c r="AC48" s="67">
        <f t="shared" si="8"/>
        <v>0</v>
      </c>
      <c r="AD48" s="66" t="str">
        <f t="shared" si="9"/>
        <v xml:space="preserve"> </v>
      </c>
      <c r="AE48" s="66"/>
      <c r="AF48" s="66"/>
      <c r="AG48" s="67">
        <f t="shared" si="11"/>
        <v>0</v>
      </c>
      <c r="AH48" s="41"/>
    </row>
    <row r="49" spans="1:34" ht="30.75" customHeight="1" x14ac:dyDescent="0.3">
      <c r="A49" s="41">
        <f t="shared" si="12"/>
        <v>44</v>
      </c>
      <c r="D49" s="42"/>
      <c r="H49" s="41" t="str">
        <f t="shared" si="2"/>
        <v xml:space="preserve"> </v>
      </c>
      <c r="I49" s="63"/>
      <c r="K49" s="41" t="str">
        <f t="shared" si="3"/>
        <v xml:space="preserve"> </v>
      </c>
      <c r="L49" s="41"/>
      <c r="M49" s="41" t="str">
        <f t="shared" si="13"/>
        <v xml:space="preserve"> </v>
      </c>
      <c r="R49" s="43" t="str">
        <f>IFERROR(VLOOKUP(N49,'Calificación Controles'!$B$8:$AB$37,27,0)," ")</f>
        <v xml:space="preserve"> </v>
      </c>
      <c r="S49" s="43" t="str">
        <f>IFERROR(VLOOKUP(O49,'Calificación Controles'!$B$8:$AB$37,27,0)," ")</f>
        <v xml:space="preserve"> </v>
      </c>
      <c r="T49" s="43" t="str">
        <f>IFERROR(VLOOKUP(P49,'Calificación Controles'!$B$8:$AB$37,27,0), " ")</f>
        <v xml:space="preserve"> </v>
      </c>
      <c r="U49" s="49" t="str">
        <f t="shared" si="0"/>
        <v xml:space="preserve"> </v>
      </c>
      <c r="V49" s="49"/>
      <c r="W49" s="53" t="str">
        <f t="shared" si="4"/>
        <v xml:space="preserve"> </v>
      </c>
      <c r="X49" s="53">
        <f t="shared" si="5"/>
        <v>0</v>
      </c>
      <c r="Y49" s="65" t="str">
        <f t="shared" si="6"/>
        <v xml:space="preserve"> </v>
      </c>
      <c r="Z49" s="66"/>
      <c r="AA49" s="66"/>
      <c r="AB49" s="66" t="str">
        <f t="shared" si="7"/>
        <v xml:space="preserve"> </v>
      </c>
      <c r="AC49" s="67">
        <f t="shared" si="8"/>
        <v>0</v>
      </c>
      <c r="AD49" s="66" t="str">
        <f t="shared" si="9"/>
        <v xml:space="preserve"> </v>
      </c>
      <c r="AE49" s="66"/>
      <c r="AF49" s="66"/>
      <c r="AG49" s="67">
        <f t="shared" si="11"/>
        <v>0</v>
      </c>
      <c r="AH49" s="41"/>
    </row>
    <row r="50" spans="1:34" ht="30.75" customHeight="1" x14ac:dyDescent="0.3">
      <c r="A50" s="41">
        <f t="shared" si="12"/>
        <v>45</v>
      </c>
      <c r="D50" s="42"/>
      <c r="H50" s="41" t="str">
        <f t="shared" si="2"/>
        <v xml:space="preserve"> </v>
      </c>
      <c r="I50" s="63"/>
      <c r="K50" s="41" t="str">
        <f t="shared" si="3"/>
        <v xml:space="preserve"> </v>
      </c>
      <c r="L50" s="41"/>
      <c r="M50" s="41" t="str">
        <f t="shared" si="13"/>
        <v xml:space="preserve"> </v>
      </c>
      <c r="R50" s="43" t="str">
        <f>IFERROR(VLOOKUP(N50,'Calificación Controles'!$B$8:$AB$37,27,0)," ")</f>
        <v xml:space="preserve"> </v>
      </c>
      <c r="S50" s="43" t="str">
        <f>IFERROR(VLOOKUP(O50,'Calificación Controles'!$B$8:$AB$37,27,0)," ")</f>
        <v xml:space="preserve"> </v>
      </c>
      <c r="T50" s="43" t="str">
        <f>IFERROR(VLOOKUP(P50,'Calificación Controles'!$B$8:$AB$37,27,0), " ")</f>
        <v xml:space="preserve"> </v>
      </c>
      <c r="U50" s="49" t="str">
        <f t="shared" si="0"/>
        <v xml:space="preserve"> </v>
      </c>
      <c r="V50" s="49"/>
      <c r="W50" s="53" t="str">
        <f t="shared" si="4"/>
        <v xml:space="preserve"> </v>
      </c>
      <c r="X50" s="53">
        <f t="shared" si="5"/>
        <v>0</v>
      </c>
      <c r="Y50" s="65" t="str">
        <f t="shared" si="6"/>
        <v xml:space="preserve"> </v>
      </c>
      <c r="Z50" s="66"/>
      <c r="AA50" s="66"/>
      <c r="AB50" s="66" t="str">
        <f t="shared" si="7"/>
        <v xml:space="preserve"> </v>
      </c>
      <c r="AC50" s="67">
        <f t="shared" si="8"/>
        <v>0</v>
      </c>
      <c r="AD50" s="66" t="str">
        <f t="shared" si="9"/>
        <v xml:space="preserve"> </v>
      </c>
      <c r="AE50" s="66"/>
      <c r="AF50" s="66"/>
      <c r="AG50" s="67">
        <f t="shared" si="11"/>
        <v>0</v>
      </c>
      <c r="AH50" s="41"/>
    </row>
    <row r="51" spans="1:34" ht="30.75" customHeight="1" x14ac:dyDescent="0.3">
      <c r="A51" s="41">
        <f t="shared" si="12"/>
        <v>46</v>
      </c>
      <c r="D51" s="42"/>
      <c r="H51" s="41" t="str">
        <f t="shared" si="2"/>
        <v xml:space="preserve"> </v>
      </c>
      <c r="I51" s="63"/>
      <c r="K51" s="41" t="str">
        <f t="shared" si="3"/>
        <v xml:space="preserve"> </v>
      </c>
      <c r="L51" s="41"/>
      <c r="M51" s="41" t="str">
        <f t="shared" si="13"/>
        <v xml:space="preserve"> </v>
      </c>
      <c r="R51" s="43" t="str">
        <f>IFERROR(VLOOKUP(N51,'Calificación Controles'!$B$8:$AB$37,27,0)," ")</f>
        <v xml:space="preserve"> </v>
      </c>
      <c r="S51" s="43" t="str">
        <f>IFERROR(VLOOKUP(O51,'Calificación Controles'!$B$8:$AB$37,27,0)," ")</f>
        <v xml:space="preserve"> </v>
      </c>
      <c r="T51" s="43" t="str">
        <f>IFERROR(VLOOKUP(P51,'Calificación Controles'!$B$8:$AB$37,27,0), " ")</f>
        <v xml:space="preserve"> </v>
      </c>
      <c r="U51" s="49" t="str">
        <f t="shared" si="0"/>
        <v xml:space="preserve"> </v>
      </c>
      <c r="V51" s="49"/>
      <c r="W51" s="53" t="str">
        <f t="shared" si="4"/>
        <v xml:space="preserve"> </v>
      </c>
      <c r="X51" s="53">
        <f t="shared" si="5"/>
        <v>0</v>
      </c>
      <c r="Y51" s="65" t="str">
        <f t="shared" si="6"/>
        <v xml:space="preserve"> </v>
      </c>
      <c r="Z51" s="66"/>
      <c r="AA51" s="66"/>
      <c r="AB51" s="66" t="str">
        <f t="shared" si="7"/>
        <v xml:space="preserve"> </v>
      </c>
      <c r="AC51" s="67">
        <f t="shared" si="8"/>
        <v>0</v>
      </c>
      <c r="AD51" s="66" t="str">
        <f t="shared" si="9"/>
        <v xml:space="preserve"> </v>
      </c>
      <c r="AE51" s="66"/>
      <c r="AF51" s="66"/>
      <c r="AG51" s="67">
        <f t="shared" si="11"/>
        <v>0</v>
      </c>
      <c r="AH51" s="41"/>
    </row>
    <row r="52" spans="1:34" s="78" customFormat="1" ht="24" customHeight="1" x14ac:dyDescent="0.3">
      <c r="C52" s="79"/>
      <c r="D52" s="79"/>
      <c r="F52" s="79"/>
      <c r="G52" s="80"/>
      <c r="H52" s="80"/>
      <c r="I52" s="80"/>
      <c r="K52" s="80"/>
      <c r="L52" s="80"/>
      <c r="M52" s="80"/>
      <c r="N52" s="79"/>
      <c r="O52" s="79"/>
      <c r="P52" s="79"/>
    </row>
  </sheetData>
  <sheetProtection insertRows="0" autoFilter="0"/>
  <mergeCells count="6">
    <mergeCell ref="R1:AH1"/>
    <mergeCell ref="D2:Q3"/>
    <mergeCell ref="R2:AH2"/>
    <mergeCell ref="R3:AH3"/>
    <mergeCell ref="A1:C3"/>
    <mergeCell ref="D1:Q1"/>
  </mergeCells>
  <conditionalFormatting sqref="G6:G51">
    <cfRule type="containsText" dxfId="45" priority="74" operator="containsText" text="Muy Probable">
      <formula>NOT(ISERROR(SEARCH("Muy Probable",G6)))</formula>
    </cfRule>
    <cfRule type="containsText" dxfId="44" priority="73" operator="containsText" text="Posible">
      <formula>NOT(ISERROR(SEARCH("Posible",G6)))</formula>
    </cfRule>
    <cfRule type="containsText" dxfId="43" priority="72" operator="containsText" text="Poco Probable">
      <formula>NOT(ISERROR(SEARCH("Poco Probable",G6)))</formula>
    </cfRule>
    <cfRule type="containsText" dxfId="42" priority="71" operator="containsText" text="Raro">
      <formula>NOT(ISERROR(SEARCH("Raro",G6)))</formula>
    </cfRule>
    <cfRule type="cellIs" dxfId="41" priority="75" operator="equal">
      <formula>"Casi Seguro"</formula>
    </cfRule>
  </conditionalFormatting>
  <conditionalFormatting sqref="H6:I51">
    <cfRule type="containsBlanks" priority="17">
      <formula>LEN(TRIM(H6))=0</formula>
    </cfRule>
    <cfRule type="containsText" dxfId="39" priority="19" operator="containsText" text="5">
      <formula>NOT(ISERROR(SEARCH("5",H6)))</formula>
    </cfRule>
    <cfRule type="containsText" dxfId="38" priority="20" operator="containsText" text="4">
      <formula>NOT(ISERROR(SEARCH("4",H6)))</formula>
    </cfRule>
    <cfRule type="containsText" dxfId="37" priority="21" operator="containsText" text="3">
      <formula>NOT(ISERROR(SEARCH("3",H6)))</formula>
    </cfRule>
    <cfRule type="containsText" dxfId="36" priority="22" operator="containsText" text="2">
      <formula>NOT(ISERROR(SEARCH("2",H6)))</formula>
    </cfRule>
  </conditionalFormatting>
  <conditionalFormatting sqref="J6:J51">
    <cfRule type="containsText" dxfId="35" priority="1" operator="containsText" text="Muy Alto">
      <formula>NOT(ISERROR(SEARCH("Muy Alto",J6)))</formula>
    </cfRule>
    <cfRule type="containsText" dxfId="34" priority="2" operator="containsText" text="Muy Bajo">
      <formula>NOT(ISERROR(SEARCH("Muy Bajo",J6)))</formula>
    </cfRule>
    <cfRule type="containsText" dxfId="33" priority="3" operator="containsText" text="Bajo">
      <formula>NOT(ISERROR(SEARCH("Bajo",J6)))</formula>
    </cfRule>
    <cfRule type="containsText" dxfId="32" priority="4" operator="containsText" text="Medio">
      <formula>NOT(ISERROR(SEARCH("Medio",J6)))</formula>
    </cfRule>
    <cfRule type="containsText" dxfId="31" priority="5" operator="containsText" text="Alto">
      <formula>NOT(ISERROR(SEARCH("Alto",J6)))</formula>
    </cfRule>
  </conditionalFormatting>
  <conditionalFormatting sqref="K6:L51">
    <cfRule type="containsText" dxfId="30" priority="12" operator="containsText" text="1">
      <formula>NOT(ISERROR(SEARCH("1",K6)))</formula>
    </cfRule>
    <cfRule type="containsText" dxfId="29" priority="13" operator="containsText" text="2">
      <formula>NOT(ISERROR(SEARCH("2",K6)))</formula>
    </cfRule>
    <cfRule type="containsText" dxfId="28" priority="14" operator="containsText" text="3">
      <formula>NOT(ISERROR(SEARCH("3",K6)))</formula>
    </cfRule>
    <cfRule type="containsText" dxfId="27" priority="15" operator="containsText" text="4">
      <formula>NOT(ISERROR(SEARCH("4",K6)))</formula>
    </cfRule>
    <cfRule type="containsText" dxfId="26" priority="16" operator="containsText" text="5">
      <formula>NOT(ISERROR(SEARCH("5",K6)))</formula>
    </cfRule>
    <cfRule type="containsBlanks" priority="11">
      <formula>LEN(TRIM(K6))=0</formula>
    </cfRule>
  </conditionalFormatting>
  <conditionalFormatting sqref="M4">
    <cfRule type="cellIs" dxfId="25" priority="43" operator="between">
      <formula>1</formula>
      <formula>2</formula>
    </cfRule>
    <cfRule type="cellIs" dxfId="24" priority="44" operator="between">
      <formula>3</formula>
      <formula>4</formula>
    </cfRule>
    <cfRule type="cellIs" dxfId="23" priority="45" operator="between">
      <formula>5</formula>
      <formula>9</formula>
    </cfRule>
    <cfRule type="cellIs" dxfId="22" priority="46" operator="between">
      <formula>10</formula>
      <formula>15</formula>
    </cfRule>
    <cfRule type="cellIs" dxfId="21" priority="47" operator="between">
      <formula>16</formula>
      <formula>25</formula>
    </cfRule>
  </conditionalFormatting>
  <conditionalFormatting sqref="M6:M51">
    <cfRule type="cellIs" dxfId="20" priority="6" operator="between">
      <formula>1</formula>
      <formula>2</formula>
    </cfRule>
    <cfRule type="cellIs" dxfId="19" priority="54" operator="between">
      <formula>1</formula>
      <formula>2</formula>
    </cfRule>
    <cfRule type="cellIs" dxfId="18" priority="55" operator="between">
      <formula>3</formula>
      <formula>4</formula>
    </cfRule>
    <cfRule type="cellIs" dxfId="17" priority="56" operator="between">
      <formula>5</formula>
      <formula>9</formula>
    </cfRule>
    <cfRule type="cellIs" dxfId="16" priority="57" operator="between">
      <formula>10</formula>
      <formula>15</formula>
    </cfRule>
    <cfRule type="cellIs" dxfId="15" priority="58" operator="between">
      <formula>16</formula>
      <formula>25</formula>
    </cfRule>
    <cfRule type="cellIs" dxfId="14" priority="10" operator="between">
      <formula>16</formula>
      <formula>25</formula>
    </cfRule>
    <cfRule type="cellIs" dxfId="13" priority="9" operator="between">
      <formula>10</formula>
      <formula>15</formula>
    </cfRule>
    <cfRule type="cellIs" dxfId="12" priority="8" operator="between">
      <formula>5</formula>
      <formula>9</formula>
    </cfRule>
    <cfRule type="cellIs" dxfId="11" priority="7" operator="between">
      <formula>3</formula>
      <formula>4</formula>
    </cfRule>
  </conditionalFormatting>
  <conditionalFormatting sqref="AG4">
    <cfRule type="cellIs" dxfId="10" priority="24" operator="between">
      <formula>3</formula>
      <formula>4</formula>
    </cfRule>
  </conditionalFormatting>
  <conditionalFormatting sqref="AG6:AG51">
    <cfRule type="cellIs" dxfId="9" priority="49" operator="between">
      <formula>1</formula>
      <formula>2</formula>
    </cfRule>
    <cfRule type="cellIs" dxfId="8" priority="50" operator="between">
      <formula>3</formula>
      <formula>4</formula>
    </cfRule>
    <cfRule type="cellIs" dxfId="7" priority="51" operator="between">
      <formula>5</formula>
      <formula>9</formula>
    </cfRule>
    <cfRule type="cellIs" dxfId="6" priority="52" operator="between">
      <formula>10</formula>
      <formula>15</formula>
    </cfRule>
    <cfRule type="cellIs" dxfId="5" priority="53" operator="between">
      <formula>16</formula>
      <formula>25</formula>
    </cfRule>
  </conditionalFormatting>
  <dataValidations count="1">
    <dataValidation allowBlank="1" showErrorMessage="1" promptTitle="DISMINUYE" prompt="_x000a_" sqref="R6:T51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5" scale="46" fitToHeight="2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3" operator="containsText" id="{9CB9A043-271C-4161-8BC5-2E425F1E2512}">
            <xm:f>NOT(ISERROR(SEARCH(1,H6)))</xm:f>
            <xm:f>1</xm:f>
            <x14:dxf>
              <fill>
                <patternFill>
                  <bgColor rgb="FF00B050"/>
                </patternFill>
              </fill>
            </x14:dxf>
          </x14:cfRule>
          <xm:sqref>H6:I51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 errorTitle="No digitar" error="En esta celda no se puede digitar valores" xr:uid="{00000000-0002-0000-0000-000001000000}">
          <x14:formula1>
            <xm:f>Entradas!$D$2:$D$5</xm:f>
          </x14:formula1>
          <xm:sqref>E6:E51</xm:sqref>
        </x14:dataValidation>
        <x14:dataValidation type="list" allowBlank="1" showInputMessage="1" showErrorMessage="1" promptTitle="Probabilidad" xr:uid="{00000000-0002-0000-0000-000002000000}">
          <x14:formula1>
            <xm:f>Entradas!$F$3:$F$7</xm:f>
          </x14:formula1>
          <xm:sqref>G52:G73</xm:sqref>
        </x14:dataValidation>
        <x14:dataValidation type="list" allowBlank="1" showInputMessage="1" showErrorMessage="1" errorTitle="No digitar" error="En esta Celda no se puede digitar" promptTitle="Probabilidad" xr:uid="{00000000-0002-0000-0000-000003000000}">
          <x14:formula1>
            <xm:f>Entradas!$F$2:$F$7</xm:f>
          </x14:formula1>
          <xm:sqref>G6:G51</xm:sqref>
        </x14:dataValidation>
        <x14:dataValidation type="list" allowBlank="1" showInputMessage="1" showErrorMessage="1" promptTitle="Impacto" xr:uid="{00000000-0002-0000-0000-000004000000}">
          <x14:formula1>
            <xm:f>Entradas!$G$3:$G$7</xm:f>
          </x14:formula1>
          <xm:sqref>J52:J76</xm:sqref>
        </x14:dataValidation>
        <x14:dataValidation type="list" allowBlank="1" showInputMessage="1" showErrorMessage="1" promptTitle="Impacto" xr:uid="{00000000-0002-0000-0000-000005000000}">
          <x14:formula1>
            <xm:f>Entradas!$G$2:$G$7</xm:f>
          </x14:formula1>
          <xm:sqref>J6:J22 J28:J51</xm:sqref>
        </x14:dataValidation>
        <x14:dataValidation type="list" allowBlank="1" showInputMessage="1" showErrorMessage="1" errorTitle="No Digitar" error="No se puede digitar en esta celda" xr:uid="{00000000-0002-0000-0000-000006000000}">
          <x14:formula1>
            <xm:f>Entradas!$H$2:$H$23</xm:f>
          </x14:formula1>
          <xm:sqref>N33:P51</xm:sqref>
        </x14:dataValidation>
        <x14:dataValidation type="list" allowBlank="1" showErrorMessage="1" errorTitle="No Digitar" error="No se puede digitar en esta celda" promptTitle="DISMINUYE" prompt="_x000a_" xr:uid="{00000000-0002-0000-0000-000007000000}">
          <x14:formula1>
            <xm:f>Entradas!$I$2:$I$5</xm:f>
          </x14:formula1>
          <xm:sqref>Q6:Q22 Q28:Q51</xm:sqref>
        </x14:dataValidation>
        <x14:dataValidation type="list" allowBlank="1" showInputMessage="1" showErrorMessage="1" errorTitle="No digitar" error="No se puede digitar en este Celda" xr:uid="{00000000-0002-0000-0000-000008000000}">
          <x14:formula1>
            <xm:f>Entradas!$A$2:$A$6</xm:f>
          </x14:formula1>
          <xm:sqref>B6:B51</xm:sqref>
        </x14:dataValidation>
        <x14:dataValidation type="list" allowBlank="1" showInputMessage="1" showErrorMessage="1" errorTitle="No Digitar" error="No se puede digitar en esta celda" xr:uid="{00000000-0002-0000-0000-000009000000}">
          <x14:formula1>
            <xm:f>Entradas!$E$2:$E$6</xm:f>
          </x14:formula1>
          <xm:sqref>F6:F51</xm:sqref>
        </x14:dataValidation>
        <x14:dataValidation type="list" allowBlank="1" showInputMessage="1" showErrorMessage="1" xr:uid="{00000000-0002-0000-0000-00000A000000}">
          <x14:formula1>
            <xm:f>Entradas!$H$2:$H$22</xm:f>
          </x14:formula1>
          <xm:sqref>N6:P22 N28:P32</xm:sqref>
        </x14:dataValidation>
        <x14:dataValidation type="list" allowBlank="1" showInputMessage="1" showErrorMessage="1" xr:uid="{00000000-0002-0000-0000-00000B000000}">
          <x14:formula1>
            <xm:f>Entradas!$B$2:$B$15</xm:f>
          </x14:formula1>
          <xm:sqref>C6:C51</xm:sqref>
        </x14:dataValidation>
        <x14:dataValidation type="list" allowBlank="1" showInputMessage="1" showErrorMessage="1" xr:uid="{00000000-0002-0000-0000-00000C000000}">
          <x14:formula1>
            <xm:f>Entradas!$C$2:$C$15</xm:f>
          </x14:formula1>
          <xm:sqref>D6:D51</xm:sqref>
        </x14:dataValidation>
        <x14:dataValidation type="list" allowBlank="1" showInputMessage="1" showErrorMessage="1" promptTitle="Impacto" xr:uid="{00000000-0002-0000-0000-00000D000000}">
          <x14:formula1>
            <xm:f>'C:\Users\fernando\OneDrive\OPCION INTEGRAL CONSULTORES\CLIENTES CUMPLIMIENTO\Cumplimiento Toyonorte 08\[Matriz de Riesgo SAGRILAFT TOYONORTE 2024.xlsx]Entradas'!#REF!</xm:f>
          </x14:formula1>
          <xm:sqref>J23:J27</xm:sqref>
        </x14:dataValidation>
        <x14:dataValidation type="list" allowBlank="1" showInputMessage="1" showErrorMessage="1" xr:uid="{00000000-0002-0000-0000-00000E000000}">
          <x14:formula1>
            <xm:f>'C:\Users\fernando\OneDrive\OPCION INTEGRAL CONSULTORES\CLIENTES CUMPLIMIENTO\Cumplimiento Toyonorte 08\[Matriz de Riesgo SAGRILAFT TOYONORTE 2024.xlsx]Entradas'!#REF!</xm:f>
          </x14:formula1>
          <xm:sqref>N23:N24</xm:sqref>
        </x14:dataValidation>
        <x14:dataValidation type="list" allowBlank="1" showErrorMessage="1" errorTitle="No Digitar" error="No se puede digitar en esta celda" promptTitle="DISMINUYE" prompt="_x000a_" xr:uid="{00000000-0002-0000-0000-00000F000000}">
          <x14:formula1>
            <xm:f>'C:\Users\fernando\OneDrive\OPCION INTEGRAL CONSULTORES\CLIENTES CUMPLIMIENTO\Cumplimiento Toyonorte 08\[Matriz de Riesgo SAGRILAFT TOYONORTE 2024.xlsx]Entradas'!#REF!</xm:f>
          </x14:formula1>
          <xm:sqref>Q23:Q27</xm:sqref>
        </x14:dataValidation>
        <x14:dataValidation type="list" allowBlank="1" showInputMessage="1" showErrorMessage="1" errorTitle="No Digitar" error="No se puede digitar en esta celda" xr:uid="{00000000-0002-0000-0000-000010000000}">
          <x14:formula1>
            <xm:f>'C:\Users\fernando\OneDrive\OPCION INTEGRAL CONSULTORES\CLIENTES CUMPLIMIENTO\Cumplimiento Toyonorte 08\[Matriz de Riesgo SAGRILAFT TOYONORTE 2024.xlsx]Entradas'!#REF!</xm:f>
          </x14:formula1>
          <xm:sqref>N25:N27 O23:P27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D37"/>
  <sheetViews>
    <sheetView workbookViewId="0">
      <pane xSplit="4" ySplit="7" topLeftCell="E8" activePane="bottomRight" state="frozen"/>
      <selection pane="topRight" activeCell="E1" sqref="E1"/>
      <selection pane="bottomLeft" activeCell="A8" sqref="A8"/>
      <selection pane="bottomRight" activeCell="F3" sqref="F3"/>
    </sheetView>
  </sheetViews>
  <sheetFormatPr baseColWidth="10" defaultRowHeight="14.4" x14ac:dyDescent="0.3"/>
  <cols>
    <col min="1" max="1" width="7.21875" customWidth="1"/>
    <col min="2" max="2" width="13.77734375" customWidth="1"/>
    <col min="3" max="3" width="57.5546875" customWidth="1"/>
    <col min="4" max="4" width="3" hidden="1" customWidth="1"/>
    <col min="5" max="5" width="12.21875" bestFit="1" customWidth="1"/>
    <col min="6" max="6" width="10.77734375" bestFit="1" customWidth="1"/>
    <col min="7" max="7" width="12.21875" bestFit="1" customWidth="1"/>
    <col min="8" max="8" width="5.5546875" bestFit="1" customWidth="1"/>
    <col min="9" max="9" width="13.44140625" customWidth="1"/>
    <col min="10" max="11" width="9.21875" customWidth="1"/>
    <col min="12" max="12" width="5.5546875" customWidth="1"/>
    <col min="13" max="13" width="8.5546875" customWidth="1"/>
    <col min="14" max="14" width="10.5546875" customWidth="1"/>
    <col min="15" max="15" width="5.5546875" customWidth="1"/>
    <col min="16" max="16" width="15.5546875" customWidth="1"/>
    <col min="17" max="17" width="19" customWidth="1"/>
    <col min="18" max="18" width="5.5546875" customWidth="1"/>
    <col min="19" max="19" width="7.21875" customWidth="1"/>
    <col min="20" max="20" width="9.77734375" customWidth="1"/>
    <col min="21" max="21" width="7.21875" customWidth="1"/>
    <col min="22" max="22" width="12.44140625" customWidth="1"/>
    <col min="23" max="23" width="5.5546875" customWidth="1"/>
    <col min="24" max="24" width="15.77734375" customWidth="1"/>
    <col min="25" max="25" width="15.21875" customWidth="1"/>
    <col min="26" max="26" width="10" customWidth="1"/>
    <col min="27" max="27" width="5.5546875" bestFit="1" customWidth="1"/>
    <col min="28" max="28" width="8.77734375" bestFit="1" customWidth="1"/>
    <col min="29" max="29" width="11.44140625" customWidth="1"/>
    <col min="30" max="30" width="13.5546875" bestFit="1" customWidth="1"/>
  </cols>
  <sheetData>
    <row r="1" spans="1:30" ht="80.25" customHeight="1" x14ac:dyDescent="0.3">
      <c r="A1" s="115"/>
      <c r="B1" s="115"/>
      <c r="C1" s="108"/>
      <c r="D1" s="108"/>
      <c r="E1" s="108"/>
      <c r="F1" s="108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</row>
    <row r="2" spans="1:30" x14ac:dyDescent="0.3">
      <c r="A2" s="84" t="s">
        <v>141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</row>
    <row r="3" spans="1:30" x14ac:dyDescent="0.3">
      <c r="A3" s="61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</row>
    <row r="4" spans="1:30" ht="15.6" x14ac:dyDescent="0.3">
      <c r="A4" s="85" t="s">
        <v>102</v>
      </c>
      <c r="B4" s="85" t="s">
        <v>104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</row>
    <row r="5" spans="1:30" x14ac:dyDescent="0.3">
      <c r="A5" s="86"/>
      <c r="B5" s="87" t="s">
        <v>103</v>
      </c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</row>
    <row r="6" spans="1:30" x14ac:dyDescent="0.3">
      <c r="A6" s="109" t="s">
        <v>48</v>
      </c>
      <c r="B6" s="109"/>
      <c r="C6" s="109"/>
      <c r="D6" s="14"/>
      <c r="E6" s="113" t="s">
        <v>49</v>
      </c>
      <c r="F6" s="113"/>
      <c r="G6" s="113"/>
      <c r="H6" s="114"/>
      <c r="I6" s="112" t="s">
        <v>53</v>
      </c>
      <c r="J6" s="113"/>
      <c r="K6" s="113"/>
      <c r="L6" s="114"/>
      <c r="M6" s="112" t="s">
        <v>59</v>
      </c>
      <c r="N6" s="113"/>
      <c r="O6" s="114"/>
      <c r="P6" s="112" t="s">
        <v>60</v>
      </c>
      <c r="Q6" s="113"/>
      <c r="R6" s="114"/>
      <c r="S6" s="112" t="s">
        <v>63</v>
      </c>
      <c r="T6" s="113"/>
      <c r="U6" s="113"/>
      <c r="V6" s="113"/>
      <c r="W6" s="114"/>
      <c r="X6" s="109" t="s">
        <v>68</v>
      </c>
      <c r="Y6" s="109"/>
      <c r="Z6" s="109"/>
      <c r="AA6" s="112"/>
      <c r="AB6" s="110" t="s">
        <v>74</v>
      </c>
      <c r="AC6" s="111"/>
      <c r="AD6" s="111"/>
    </row>
    <row r="7" spans="1:30" x14ac:dyDescent="0.3">
      <c r="A7" s="88" t="s">
        <v>105</v>
      </c>
      <c r="B7" s="20"/>
      <c r="C7" s="21" t="s">
        <v>106</v>
      </c>
      <c r="D7" s="22"/>
      <c r="E7" s="23" t="s">
        <v>50</v>
      </c>
      <c r="F7" s="24" t="s">
        <v>51</v>
      </c>
      <c r="G7" s="25" t="s">
        <v>52</v>
      </c>
      <c r="H7" s="26" t="s">
        <v>72</v>
      </c>
      <c r="I7" s="27" t="s">
        <v>54</v>
      </c>
      <c r="J7" s="24" t="s">
        <v>56</v>
      </c>
      <c r="K7" s="25" t="s">
        <v>55</v>
      </c>
      <c r="L7" s="26" t="s">
        <v>72</v>
      </c>
      <c r="M7" s="27" t="s">
        <v>57</v>
      </c>
      <c r="N7" s="24" t="s">
        <v>58</v>
      </c>
      <c r="O7" s="26" t="s">
        <v>72</v>
      </c>
      <c r="P7" s="27" t="s">
        <v>61</v>
      </c>
      <c r="Q7" s="25" t="s">
        <v>62</v>
      </c>
      <c r="R7" s="26" t="s">
        <v>72</v>
      </c>
      <c r="S7" s="27" t="s">
        <v>64</v>
      </c>
      <c r="T7" s="24" t="s">
        <v>65</v>
      </c>
      <c r="U7" s="28" t="s">
        <v>66</v>
      </c>
      <c r="V7" s="25" t="s">
        <v>67</v>
      </c>
      <c r="W7" s="26" t="s">
        <v>72</v>
      </c>
      <c r="X7" s="27" t="s">
        <v>69</v>
      </c>
      <c r="Y7" s="24" t="s">
        <v>70</v>
      </c>
      <c r="Z7" s="25" t="s">
        <v>71</v>
      </c>
      <c r="AA7" s="26" t="s">
        <v>72</v>
      </c>
      <c r="AB7" s="29" t="s">
        <v>75</v>
      </c>
      <c r="AC7" s="29" t="s">
        <v>75</v>
      </c>
      <c r="AD7" s="29" t="s">
        <v>109</v>
      </c>
    </row>
    <row r="8" spans="1:30" ht="28.8" x14ac:dyDescent="0.3">
      <c r="A8" s="89">
        <v>1</v>
      </c>
      <c r="B8" s="76" t="s">
        <v>83</v>
      </c>
      <c r="C8" s="30" t="s">
        <v>81</v>
      </c>
      <c r="D8" s="31">
        <f>+A8</f>
        <v>1</v>
      </c>
      <c r="E8" s="32" t="s">
        <v>80</v>
      </c>
      <c r="F8" s="21"/>
      <c r="G8" s="21"/>
      <c r="H8" s="33">
        <f>IF(E8="X",15,IF(F8="X",7.5,IF(G8="X",1.5,0)))</f>
        <v>15</v>
      </c>
      <c r="I8" s="21"/>
      <c r="J8" s="21" t="s">
        <v>80</v>
      </c>
      <c r="K8" s="21"/>
      <c r="L8" s="33">
        <f>IF(I8="X",15,IF(J8="X",7.5,IF(K8="X",1.5,0)))</f>
        <v>7.5</v>
      </c>
      <c r="M8" s="21" t="s">
        <v>73</v>
      </c>
      <c r="N8" s="21"/>
      <c r="O8" s="33">
        <f>IF(M8="X",15,IF(N8="X",7.5,0))</f>
        <v>15</v>
      </c>
      <c r="P8" s="21" t="s">
        <v>80</v>
      </c>
      <c r="Q8" s="21"/>
      <c r="R8" s="33">
        <f>IF(P8="X",15,IF(Q8="X",1.5,0))</f>
        <v>15</v>
      </c>
      <c r="S8" s="21"/>
      <c r="T8" s="21" t="s">
        <v>73</v>
      </c>
      <c r="U8" s="21"/>
      <c r="V8" s="21"/>
      <c r="W8" s="33">
        <f>IF(S8="X",15,IF(T8="X",10,IF(U8="X",7.5,IF(V8="X",1.5,0))))</f>
        <v>10</v>
      </c>
      <c r="X8" s="21" t="s">
        <v>80</v>
      </c>
      <c r="Y8" s="21"/>
      <c r="Z8" s="21"/>
      <c r="AA8" s="33">
        <f>IF(X8="X",15,IF(Y8="X",7.5,IF(Z8="X",1.5,0)))</f>
        <v>15</v>
      </c>
      <c r="AB8" s="37">
        <f>+H8+L8+O8+R8+W8+AA8</f>
        <v>77.5</v>
      </c>
      <c r="AC8" s="38">
        <f>ROUND(AB8,0)</f>
        <v>78</v>
      </c>
      <c r="AD8" t="str">
        <f>IF(AC8&gt;70,"FUERTE",IF(AC8&gt;50,"MODERADO",IF(AC8&gt;40,"ACEPTABLE",IF(AC8&gt;20,"DEBIL",IF(AC8&lt;19,"INEXISTENTE",0)))))</f>
        <v>FUERTE</v>
      </c>
    </row>
    <row r="9" spans="1:30" ht="28.8" x14ac:dyDescent="0.3">
      <c r="A9" s="90">
        <v>2</v>
      </c>
      <c r="B9" s="31" t="s">
        <v>84</v>
      </c>
      <c r="C9" s="34" t="s">
        <v>171</v>
      </c>
      <c r="D9" s="31">
        <f t="shared" ref="D9:D37" si="0">+A9</f>
        <v>2</v>
      </c>
      <c r="E9" s="32" t="s">
        <v>73</v>
      </c>
      <c r="F9" s="21"/>
      <c r="G9" s="21"/>
      <c r="H9" s="33">
        <f t="shared" ref="H9:H37" si="1">IF(E9="X",15,IF(F9="X",7.5,IF(G9="X",1.5,0)))</f>
        <v>15</v>
      </c>
      <c r="I9" s="21"/>
      <c r="J9" s="21"/>
      <c r="K9" s="21" t="s">
        <v>73</v>
      </c>
      <c r="L9" s="33">
        <f t="shared" ref="L9:L37" si="2">IF(I9="X",15,IF(J9="X",7.5,IF(K9="X",1.5,0)))</f>
        <v>1.5</v>
      </c>
      <c r="M9" s="21" t="s">
        <v>80</v>
      </c>
      <c r="N9" s="21"/>
      <c r="O9" s="33">
        <f t="shared" ref="O9:O37" si="3">IF(M9="X",15,IF(N9="X",7.5,0))</f>
        <v>15</v>
      </c>
      <c r="P9" s="21" t="s">
        <v>80</v>
      </c>
      <c r="Q9" s="21"/>
      <c r="R9" s="33">
        <f t="shared" ref="R9:R37" si="4">IF(P9="X",15,IF(Q9="X",1.5,0))</f>
        <v>15</v>
      </c>
      <c r="S9" s="21" t="s">
        <v>80</v>
      </c>
      <c r="T9" s="21"/>
      <c r="U9" s="21"/>
      <c r="V9" s="21"/>
      <c r="W9" s="33">
        <f t="shared" ref="W9:W37" si="5">IF(S9="X",15,IF(T9="X",10,IF(U9="X",7.5,IF(V9="X",1.5,0))))</f>
        <v>15</v>
      </c>
      <c r="X9" s="21" t="s">
        <v>80</v>
      </c>
      <c r="Y9" s="21"/>
      <c r="Z9" s="21"/>
      <c r="AA9" s="33">
        <f t="shared" ref="AA9:AA37" si="6">IF(X9="X",15,IF(Y9="X",7.5,IF(Z9="X",1.5,0)))</f>
        <v>15</v>
      </c>
      <c r="AB9" s="37">
        <f t="shared" ref="AB9:AB37" si="7">+H9+L9+O9+R9+W9+AA9</f>
        <v>76.5</v>
      </c>
      <c r="AC9" s="38">
        <f t="shared" ref="AC9:AC37" si="8">ROUND(AB9,0)</f>
        <v>77</v>
      </c>
      <c r="AD9" t="str">
        <f t="shared" ref="AD9:AD37" si="9">IF(AC9&gt;70,"FUERTE",IF(AC9&gt;50,"MODERADO",IF(AC9&gt;40,"ACEPTABLE",IF(AC9&gt;20,"DEBIL",IF(AC9&lt;19,"INEXISTENTE",0)))))</f>
        <v>FUERTE</v>
      </c>
    </row>
    <row r="10" spans="1:30" ht="43.2" x14ac:dyDescent="0.3">
      <c r="A10" s="90">
        <v>3</v>
      </c>
      <c r="B10" s="31" t="s">
        <v>82</v>
      </c>
      <c r="C10" s="34" t="s">
        <v>172</v>
      </c>
      <c r="D10" s="31">
        <f t="shared" si="0"/>
        <v>3</v>
      </c>
      <c r="E10" s="32" t="s">
        <v>73</v>
      </c>
      <c r="F10" s="21"/>
      <c r="G10" s="21"/>
      <c r="H10" s="33">
        <f t="shared" si="1"/>
        <v>15</v>
      </c>
      <c r="I10" s="21"/>
      <c r="J10" s="35"/>
      <c r="K10" s="21" t="s">
        <v>73</v>
      </c>
      <c r="L10" s="33">
        <f t="shared" si="2"/>
        <v>1.5</v>
      </c>
      <c r="M10" s="21" t="s">
        <v>80</v>
      </c>
      <c r="N10" s="21"/>
      <c r="O10" s="33">
        <f t="shared" si="3"/>
        <v>15</v>
      </c>
      <c r="P10" s="21" t="s">
        <v>80</v>
      </c>
      <c r="Q10" s="21"/>
      <c r="R10" s="33">
        <f t="shared" si="4"/>
        <v>15</v>
      </c>
      <c r="S10" s="21" t="s">
        <v>80</v>
      </c>
      <c r="T10" s="21"/>
      <c r="U10" s="21"/>
      <c r="V10" s="21"/>
      <c r="W10" s="33">
        <f t="shared" si="5"/>
        <v>15</v>
      </c>
      <c r="X10" s="21" t="s">
        <v>80</v>
      </c>
      <c r="Y10" s="21"/>
      <c r="Z10" s="21"/>
      <c r="AA10" s="33">
        <f t="shared" si="6"/>
        <v>15</v>
      </c>
      <c r="AB10" s="37">
        <f t="shared" si="7"/>
        <v>76.5</v>
      </c>
      <c r="AC10" s="38">
        <f t="shared" si="8"/>
        <v>77</v>
      </c>
      <c r="AD10" t="str">
        <f t="shared" si="9"/>
        <v>FUERTE</v>
      </c>
    </row>
    <row r="11" spans="1:30" ht="28.8" x14ac:dyDescent="0.3">
      <c r="A11" s="90">
        <v>4</v>
      </c>
      <c r="B11" s="31" t="s">
        <v>90</v>
      </c>
      <c r="C11" s="34" t="s">
        <v>173</v>
      </c>
      <c r="D11" s="31">
        <f t="shared" si="0"/>
        <v>4</v>
      </c>
      <c r="E11" s="32" t="s">
        <v>73</v>
      </c>
      <c r="F11" s="21"/>
      <c r="G11" s="21"/>
      <c r="H11" s="33">
        <f t="shared" si="1"/>
        <v>15</v>
      </c>
      <c r="I11" s="21"/>
      <c r="J11" s="21"/>
      <c r="K11" s="21" t="s">
        <v>73</v>
      </c>
      <c r="L11" s="33">
        <f t="shared" si="2"/>
        <v>1.5</v>
      </c>
      <c r="M11" s="21" t="s">
        <v>73</v>
      </c>
      <c r="N11" s="21"/>
      <c r="O11" s="33">
        <f t="shared" si="3"/>
        <v>15</v>
      </c>
      <c r="P11" s="21" t="s">
        <v>80</v>
      </c>
      <c r="Q11" s="21"/>
      <c r="R11" s="33">
        <f t="shared" si="4"/>
        <v>15</v>
      </c>
      <c r="S11" s="21" t="s">
        <v>73</v>
      </c>
      <c r="T11" s="21"/>
      <c r="U11" s="21"/>
      <c r="V11" s="21"/>
      <c r="W11" s="33">
        <f t="shared" si="5"/>
        <v>15</v>
      </c>
      <c r="X11" s="21" t="s">
        <v>73</v>
      </c>
      <c r="Y11" s="21"/>
      <c r="Z11" s="21"/>
      <c r="AA11" s="33">
        <f t="shared" si="6"/>
        <v>15</v>
      </c>
      <c r="AB11" s="37">
        <f t="shared" si="7"/>
        <v>76.5</v>
      </c>
      <c r="AC11" s="38">
        <f t="shared" si="8"/>
        <v>77</v>
      </c>
      <c r="AD11" t="str">
        <f t="shared" si="9"/>
        <v>FUERTE</v>
      </c>
    </row>
    <row r="12" spans="1:30" ht="28.8" x14ac:dyDescent="0.3">
      <c r="A12" s="90">
        <v>5</v>
      </c>
      <c r="B12" s="31" t="s">
        <v>91</v>
      </c>
      <c r="C12" s="34" t="s">
        <v>180</v>
      </c>
      <c r="D12" s="31">
        <f t="shared" si="0"/>
        <v>5</v>
      </c>
      <c r="E12" s="32" t="s">
        <v>73</v>
      </c>
      <c r="F12" s="21"/>
      <c r="G12" s="21"/>
      <c r="H12" s="33">
        <f t="shared" si="1"/>
        <v>15</v>
      </c>
      <c r="I12" s="21"/>
      <c r="J12" s="21" t="s">
        <v>73</v>
      </c>
      <c r="K12" s="21"/>
      <c r="L12" s="33">
        <f t="shared" si="2"/>
        <v>7.5</v>
      </c>
      <c r="M12" s="21" t="s">
        <v>73</v>
      </c>
      <c r="N12" s="21"/>
      <c r="O12" s="33">
        <f t="shared" si="3"/>
        <v>15</v>
      </c>
      <c r="P12" s="21" t="s">
        <v>73</v>
      </c>
      <c r="Q12" s="21"/>
      <c r="R12" s="33">
        <f t="shared" si="4"/>
        <v>15</v>
      </c>
      <c r="S12" s="21" t="s">
        <v>73</v>
      </c>
      <c r="T12" s="21"/>
      <c r="U12" s="21"/>
      <c r="V12" s="21"/>
      <c r="W12" s="33">
        <f t="shared" si="5"/>
        <v>15</v>
      </c>
      <c r="X12" s="21" t="s">
        <v>80</v>
      </c>
      <c r="Y12" s="21"/>
      <c r="Z12" s="21"/>
      <c r="AA12" s="33">
        <f t="shared" si="6"/>
        <v>15</v>
      </c>
      <c r="AB12" s="37">
        <f t="shared" si="7"/>
        <v>82.5</v>
      </c>
      <c r="AC12" s="38">
        <f t="shared" si="8"/>
        <v>83</v>
      </c>
      <c r="AD12" t="str">
        <f t="shared" si="9"/>
        <v>FUERTE</v>
      </c>
    </row>
    <row r="13" spans="1:30" ht="28.8" x14ac:dyDescent="0.3">
      <c r="A13" s="90">
        <v>6</v>
      </c>
      <c r="B13" s="31" t="s">
        <v>142</v>
      </c>
      <c r="C13" s="34" t="s">
        <v>143</v>
      </c>
      <c r="D13" s="31">
        <f t="shared" si="0"/>
        <v>6</v>
      </c>
      <c r="E13" s="32" t="s">
        <v>73</v>
      </c>
      <c r="F13" s="21"/>
      <c r="G13" s="21"/>
      <c r="H13" s="33">
        <f t="shared" si="1"/>
        <v>15</v>
      </c>
      <c r="I13" s="21"/>
      <c r="J13" s="21"/>
      <c r="K13" s="21" t="s">
        <v>73</v>
      </c>
      <c r="L13" s="33">
        <f t="shared" si="2"/>
        <v>1.5</v>
      </c>
      <c r="M13" s="21" t="s">
        <v>73</v>
      </c>
      <c r="N13" s="21"/>
      <c r="O13" s="33">
        <f t="shared" si="3"/>
        <v>15</v>
      </c>
      <c r="P13" s="21" t="s">
        <v>80</v>
      </c>
      <c r="Q13" s="21"/>
      <c r="R13" s="33">
        <f t="shared" si="4"/>
        <v>15</v>
      </c>
      <c r="S13" s="21"/>
      <c r="T13" s="21"/>
      <c r="U13" s="21" t="s">
        <v>73</v>
      </c>
      <c r="V13" s="21"/>
      <c r="W13" s="33">
        <f t="shared" si="5"/>
        <v>7.5</v>
      </c>
      <c r="X13" s="21" t="s">
        <v>80</v>
      </c>
      <c r="Y13" s="21"/>
      <c r="Z13" s="21"/>
      <c r="AA13" s="33">
        <f t="shared" si="6"/>
        <v>15</v>
      </c>
      <c r="AB13" s="37">
        <f t="shared" si="7"/>
        <v>69</v>
      </c>
      <c r="AC13" s="38">
        <f t="shared" si="8"/>
        <v>69</v>
      </c>
      <c r="AD13" t="str">
        <f t="shared" si="9"/>
        <v>MODERADO</v>
      </c>
    </row>
    <row r="14" spans="1:30" ht="43.2" x14ac:dyDescent="0.3">
      <c r="A14" s="90">
        <v>7</v>
      </c>
      <c r="B14" s="31" t="s">
        <v>147</v>
      </c>
      <c r="C14" s="34" t="s">
        <v>174</v>
      </c>
      <c r="D14" s="31">
        <f t="shared" si="0"/>
        <v>7</v>
      </c>
      <c r="E14" s="32"/>
      <c r="F14" s="21"/>
      <c r="G14" s="21" t="s">
        <v>73</v>
      </c>
      <c r="H14" s="33">
        <f t="shared" si="1"/>
        <v>1.5</v>
      </c>
      <c r="I14" s="21"/>
      <c r="J14" s="21"/>
      <c r="K14" s="21" t="s">
        <v>73</v>
      </c>
      <c r="L14" s="33">
        <f t="shared" si="2"/>
        <v>1.5</v>
      </c>
      <c r="M14" s="21"/>
      <c r="N14" s="21" t="s">
        <v>73</v>
      </c>
      <c r="O14" s="33">
        <f t="shared" si="3"/>
        <v>7.5</v>
      </c>
      <c r="P14" s="21" t="s">
        <v>80</v>
      </c>
      <c r="Q14" s="21"/>
      <c r="R14" s="33">
        <f t="shared" si="4"/>
        <v>15</v>
      </c>
      <c r="S14" s="21" t="s">
        <v>80</v>
      </c>
      <c r="T14" s="21"/>
      <c r="U14" s="21"/>
      <c r="V14" s="21"/>
      <c r="W14" s="33">
        <f t="shared" si="5"/>
        <v>15</v>
      </c>
      <c r="X14" s="21" t="s">
        <v>80</v>
      </c>
      <c r="Y14" s="21"/>
      <c r="Z14" s="21"/>
      <c r="AA14" s="33">
        <f t="shared" si="6"/>
        <v>15</v>
      </c>
      <c r="AB14" s="37">
        <f t="shared" si="7"/>
        <v>55.5</v>
      </c>
      <c r="AC14" s="38">
        <f t="shared" si="8"/>
        <v>56</v>
      </c>
      <c r="AD14" t="str">
        <f t="shared" si="9"/>
        <v>MODERADO</v>
      </c>
    </row>
    <row r="15" spans="1:30" ht="28.8" x14ac:dyDescent="0.3">
      <c r="A15" s="90">
        <v>8</v>
      </c>
      <c r="B15" s="31" t="s">
        <v>92</v>
      </c>
      <c r="C15" s="34" t="s">
        <v>176</v>
      </c>
      <c r="D15" s="31">
        <f t="shared" si="0"/>
        <v>8</v>
      </c>
      <c r="E15" s="32" t="s">
        <v>73</v>
      </c>
      <c r="F15" s="21"/>
      <c r="G15" s="21"/>
      <c r="H15" s="33">
        <f t="shared" si="1"/>
        <v>15</v>
      </c>
      <c r="I15" s="21"/>
      <c r="J15" s="21"/>
      <c r="K15" s="21" t="s">
        <v>73</v>
      </c>
      <c r="L15" s="33">
        <f t="shared" si="2"/>
        <v>1.5</v>
      </c>
      <c r="M15" s="21"/>
      <c r="N15" s="21" t="s">
        <v>73</v>
      </c>
      <c r="O15" s="33">
        <f t="shared" si="3"/>
        <v>7.5</v>
      </c>
      <c r="P15" s="21" t="s">
        <v>80</v>
      </c>
      <c r="Q15" s="21"/>
      <c r="R15" s="33">
        <f t="shared" si="4"/>
        <v>15</v>
      </c>
      <c r="S15" s="21"/>
      <c r="T15" s="21"/>
      <c r="U15" s="21" t="s">
        <v>73</v>
      </c>
      <c r="V15" s="21"/>
      <c r="W15" s="33">
        <f t="shared" si="5"/>
        <v>7.5</v>
      </c>
      <c r="X15" s="21" t="s">
        <v>80</v>
      </c>
      <c r="Y15" s="21"/>
      <c r="Z15" s="21"/>
      <c r="AA15" s="33">
        <f t="shared" si="6"/>
        <v>15</v>
      </c>
      <c r="AB15" s="37">
        <f t="shared" si="7"/>
        <v>61.5</v>
      </c>
      <c r="AC15" s="38">
        <f t="shared" si="8"/>
        <v>62</v>
      </c>
      <c r="AD15" t="str">
        <f t="shared" si="9"/>
        <v>MODERADO</v>
      </c>
    </row>
    <row r="16" spans="1:30" ht="28.8" x14ac:dyDescent="0.3">
      <c r="A16" s="90">
        <v>9</v>
      </c>
      <c r="B16" s="31" t="s">
        <v>94</v>
      </c>
      <c r="C16" s="34" t="s">
        <v>93</v>
      </c>
      <c r="D16" s="31">
        <f t="shared" si="0"/>
        <v>9</v>
      </c>
      <c r="E16" s="32"/>
      <c r="F16" s="21" t="s">
        <v>73</v>
      </c>
      <c r="G16" s="21"/>
      <c r="H16" s="33">
        <f t="shared" si="1"/>
        <v>7.5</v>
      </c>
      <c r="I16" s="21"/>
      <c r="J16" s="21" t="s">
        <v>73</v>
      </c>
      <c r="K16" s="21"/>
      <c r="L16" s="33">
        <f t="shared" si="2"/>
        <v>7.5</v>
      </c>
      <c r="M16" s="21"/>
      <c r="N16" s="21" t="s">
        <v>73</v>
      </c>
      <c r="O16" s="33">
        <f t="shared" si="3"/>
        <v>7.5</v>
      </c>
      <c r="P16" s="21" t="s">
        <v>80</v>
      </c>
      <c r="Q16" s="21"/>
      <c r="R16" s="33">
        <f t="shared" si="4"/>
        <v>15</v>
      </c>
      <c r="S16" s="21"/>
      <c r="T16" s="21" t="s">
        <v>73</v>
      </c>
      <c r="U16" s="21"/>
      <c r="V16" s="21"/>
      <c r="W16" s="33">
        <f t="shared" si="5"/>
        <v>10</v>
      </c>
      <c r="X16" s="21" t="s">
        <v>80</v>
      </c>
      <c r="Y16" s="21"/>
      <c r="Z16" s="21"/>
      <c r="AA16" s="33">
        <f t="shared" si="6"/>
        <v>15</v>
      </c>
      <c r="AB16" s="37">
        <f t="shared" si="7"/>
        <v>62.5</v>
      </c>
      <c r="AC16" s="38">
        <f t="shared" si="8"/>
        <v>63</v>
      </c>
      <c r="AD16" t="str">
        <f t="shared" si="9"/>
        <v>MODERADO</v>
      </c>
    </row>
    <row r="17" spans="1:30" ht="28.8" x14ac:dyDescent="0.3">
      <c r="A17" s="90">
        <v>10</v>
      </c>
      <c r="B17" s="31" t="s">
        <v>95</v>
      </c>
      <c r="C17" s="34" t="s">
        <v>177</v>
      </c>
      <c r="D17" s="31">
        <f t="shared" si="0"/>
        <v>10</v>
      </c>
      <c r="E17" s="32" t="s">
        <v>73</v>
      </c>
      <c r="F17" s="21"/>
      <c r="G17" s="21"/>
      <c r="H17" s="33">
        <f t="shared" si="1"/>
        <v>15</v>
      </c>
      <c r="I17" s="21"/>
      <c r="J17" s="21"/>
      <c r="K17" s="21" t="s">
        <v>73</v>
      </c>
      <c r="L17" s="33">
        <f t="shared" si="2"/>
        <v>1.5</v>
      </c>
      <c r="M17" s="21"/>
      <c r="N17" s="21" t="s">
        <v>73</v>
      </c>
      <c r="O17" s="33">
        <f t="shared" si="3"/>
        <v>7.5</v>
      </c>
      <c r="P17" s="21" t="s">
        <v>80</v>
      </c>
      <c r="Q17" s="21"/>
      <c r="R17" s="33">
        <f t="shared" si="4"/>
        <v>15</v>
      </c>
      <c r="S17" s="21"/>
      <c r="T17" s="21"/>
      <c r="U17" s="21"/>
      <c r="V17" s="21" t="s">
        <v>73</v>
      </c>
      <c r="W17" s="33">
        <f t="shared" si="5"/>
        <v>1.5</v>
      </c>
      <c r="X17" s="21" t="s">
        <v>80</v>
      </c>
      <c r="Y17" s="21"/>
      <c r="Z17" s="21"/>
      <c r="AA17" s="33">
        <f t="shared" si="6"/>
        <v>15</v>
      </c>
      <c r="AB17" s="37">
        <f t="shared" si="7"/>
        <v>55.5</v>
      </c>
      <c r="AC17" s="38">
        <f t="shared" si="8"/>
        <v>56</v>
      </c>
      <c r="AD17" t="str">
        <f t="shared" si="9"/>
        <v>MODERADO</v>
      </c>
    </row>
    <row r="18" spans="1:30" ht="28.8" x14ac:dyDescent="0.3">
      <c r="A18" s="90">
        <v>11</v>
      </c>
      <c r="B18" s="31" t="s">
        <v>97</v>
      </c>
      <c r="C18" s="34" t="s">
        <v>181</v>
      </c>
      <c r="D18" s="31">
        <f t="shared" si="0"/>
        <v>11</v>
      </c>
      <c r="E18" s="32" t="s">
        <v>73</v>
      </c>
      <c r="F18" s="21"/>
      <c r="G18" s="21"/>
      <c r="H18" s="33">
        <f t="shared" si="1"/>
        <v>15</v>
      </c>
      <c r="I18" s="21"/>
      <c r="J18" s="21"/>
      <c r="K18" s="21" t="s">
        <v>73</v>
      </c>
      <c r="L18" s="33">
        <f t="shared" si="2"/>
        <v>1.5</v>
      </c>
      <c r="M18" s="21" t="s">
        <v>73</v>
      </c>
      <c r="N18" s="21"/>
      <c r="O18" s="33">
        <f t="shared" si="3"/>
        <v>15</v>
      </c>
      <c r="P18" s="21" t="s">
        <v>80</v>
      </c>
      <c r="Q18" s="21"/>
      <c r="R18" s="33">
        <f t="shared" si="4"/>
        <v>15</v>
      </c>
      <c r="S18" s="21"/>
      <c r="T18" s="21" t="s">
        <v>73</v>
      </c>
      <c r="U18" s="21"/>
      <c r="V18" s="21"/>
      <c r="W18" s="33">
        <f t="shared" si="5"/>
        <v>10</v>
      </c>
      <c r="X18" s="21" t="s">
        <v>80</v>
      </c>
      <c r="Y18" s="21"/>
      <c r="Z18" s="21"/>
      <c r="AA18" s="33">
        <f t="shared" si="6"/>
        <v>15</v>
      </c>
      <c r="AB18" s="37">
        <f t="shared" si="7"/>
        <v>71.5</v>
      </c>
      <c r="AC18" s="38">
        <f t="shared" si="8"/>
        <v>72</v>
      </c>
      <c r="AD18" t="str">
        <f t="shared" si="9"/>
        <v>FUERTE</v>
      </c>
    </row>
    <row r="19" spans="1:30" ht="43.2" x14ac:dyDescent="0.3">
      <c r="A19" s="90">
        <v>12</v>
      </c>
      <c r="B19" s="31" t="s">
        <v>98</v>
      </c>
      <c r="C19" s="34" t="s">
        <v>178</v>
      </c>
      <c r="D19" s="31">
        <f t="shared" si="0"/>
        <v>12</v>
      </c>
      <c r="E19" s="32" t="s">
        <v>80</v>
      </c>
      <c r="F19" s="21"/>
      <c r="G19" s="21"/>
      <c r="H19" s="33">
        <f t="shared" si="1"/>
        <v>15</v>
      </c>
      <c r="I19" s="21"/>
      <c r="J19" s="21" t="s">
        <v>80</v>
      </c>
      <c r="K19" s="21"/>
      <c r="L19" s="33">
        <f t="shared" si="2"/>
        <v>7.5</v>
      </c>
      <c r="M19" s="21" t="s">
        <v>80</v>
      </c>
      <c r="N19" s="21"/>
      <c r="O19" s="33">
        <f t="shared" si="3"/>
        <v>15</v>
      </c>
      <c r="P19" s="21" t="s">
        <v>80</v>
      </c>
      <c r="Q19" s="21"/>
      <c r="R19" s="33">
        <f t="shared" si="4"/>
        <v>15</v>
      </c>
      <c r="S19" s="21"/>
      <c r="T19" s="21" t="s">
        <v>80</v>
      </c>
      <c r="U19" s="21"/>
      <c r="V19" s="21"/>
      <c r="W19" s="33">
        <f t="shared" si="5"/>
        <v>10</v>
      </c>
      <c r="X19" s="21" t="s">
        <v>80</v>
      </c>
      <c r="Y19" s="21"/>
      <c r="Z19" s="21"/>
      <c r="AA19" s="33">
        <f t="shared" si="6"/>
        <v>15</v>
      </c>
      <c r="AB19" s="37">
        <f t="shared" si="7"/>
        <v>77.5</v>
      </c>
      <c r="AC19" s="38">
        <f t="shared" si="8"/>
        <v>78</v>
      </c>
      <c r="AD19" t="str">
        <f t="shared" si="9"/>
        <v>FUERTE</v>
      </c>
    </row>
    <row r="20" spans="1:30" ht="47.25" customHeight="1" x14ac:dyDescent="0.3">
      <c r="A20" s="90">
        <v>13</v>
      </c>
      <c r="B20" s="31" t="s">
        <v>99</v>
      </c>
      <c r="C20" s="34" t="s">
        <v>175</v>
      </c>
      <c r="D20" s="31">
        <f t="shared" si="0"/>
        <v>13</v>
      </c>
      <c r="E20" s="32" t="s">
        <v>80</v>
      </c>
      <c r="F20" s="21"/>
      <c r="G20" s="21"/>
      <c r="H20" s="33">
        <f t="shared" si="1"/>
        <v>15</v>
      </c>
      <c r="I20" s="21"/>
      <c r="J20" s="21"/>
      <c r="K20" s="21" t="s">
        <v>80</v>
      </c>
      <c r="L20" s="33">
        <f t="shared" si="2"/>
        <v>1.5</v>
      </c>
      <c r="M20" s="21" t="s">
        <v>80</v>
      </c>
      <c r="N20" s="21"/>
      <c r="O20" s="33">
        <f t="shared" si="3"/>
        <v>15</v>
      </c>
      <c r="P20" s="21" t="s">
        <v>80</v>
      </c>
      <c r="Q20" s="21"/>
      <c r="R20" s="33">
        <f t="shared" si="4"/>
        <v>15</v>
      </c>
      <c r="S20" s="21"/>
      <c r="T20" s="21"/>
      <c r="U20" s="21"/>
      <c r="V20" s="21" t="s">
        <v>80</v>
      </c>
      <c r="W20" s="33">
        <f t="shared" si="5"/>
        <v>1.5</v>
      </c>
      <c r="X20" s="21" t="s">
        <v>80</v>
      </c>
      <c r="Y20" s="21"/>
      <c r="Z20" s="21"/>
      <c r="AA20" s="33">
        <f t="shared" si="6"/>
        <v>15</v>
      </c>
      <c r="AB20" s="37">
        <f t="shared" si="7"/>
        <v>63</v>
      </c>
      <c r="AC20" s="38">
        <f t="shared" si="8"/>
        <v>63</v>
      </c>
      <c r="AD20" t="str">
        <f t="shared" si="9"/>
        <v>MODERADO</v>
      </c>
    </row>
    <row r="21" spans="1:30" ht="28.8" x14ac:dyDescent="0.3">
      <c r="A21" s="90">
        <v>14</v>
      </c>
      <c r="B21" s="31" t="s">
        <v>100</v>
      </c>
      <c r="C21" s="34" t="s">
        <v>144</v>
      </c>
      <c r="D21" s="31">
        <f t="shared" si="0"/>
        <v>14</v>
      </c>
      <c r="E21" s="32" t="s">
        <v>80</v>
      </c>
      <c r="F21" s="21"/>
      <c r="G21" s="21"/>
      <c r="H21" s="33">
        <f t="shared" si="1"/>
        <v>15</v>
      </c>
      <c r="I21" s="21"/>
      <c r="J21" s="21"/>
      <c r="K21" s="21" t="s">
        <v>80</v>
      </c>
      <c r="L21" s="33">
        <f t="shared" si="2"/>
        <v>1.5</v>
      </c>
      <c r="M21" s="21" t="s">
        <v>80</v>
      </c>
      <c r="N21" s="21"/>
      <c r="O21" s="33">
        <f t="shared" si="3"/>
        <v>15</v>
      </c>
      <c r="P21" s="21" t="s">
        <v>80</v>
      </c>
      <c r="Q21" s="21"/>
      <c r="R21" s="33">
        <f t="shared" si="4"/>
        <v>15</v>
      </c>
      <c r="S21" s="21"/>
      <c r="T21" s="21"/>
      <c r="U21" s="21"/>
      <c r="V21" s="21" t="s">
        <v>80</v>
      </c>
      <c r="W21" s="33">
        <f t="shared" si="5"/>
        <v>1.5</v>
      </c>
      <c r="X21" s="21" t="s">
        <v>80</v>
      </c>
      <c r="Y21" s="21"/>
      <c r="Z21" s="21"/>
      <c r="AA21" s="33">
        <f t="shared" si="6"/>
        <v>15</v>
      </c>
      <c r="AB21" s="37">
        <f t="shared" si="7"/>
        <v>63</v>
      </c>
      <c r="AC21" s="38">
        <f t="shared" si="8"/>
        <v>63</v>
      </c>
      <c r="AD21" t="str">
        <f t="shared" si="9"/>
        <v>MODERADO</v>
      </c>
    </row>
    <row r="22" spans="1:30" ht="57.6" x14ac:dyDescent="0.3">
      <c r="A22" s="90">
        <v>15</v>
      </c>
      <c r="B22" s="31" t="s">
        <v>101</v>
      </c>
      <c r="C22" s="34" t="s">
        <v>179</v>
      </c>
      <c r="D22" s="31">
        <f t="shared" si="0"/>
        <v>15</v>
      </c>
      <c r="E22" s="32"/>
      <c r="F22" s="21" t="s">
        <v>80</v>
      </c>
      <c r="G22" s="21"/>
      <c r="H22" s="33">
        <f t="shared" si="1"/>
        <v>7.5</v>
      </c>
      <c r="I22" s="21"/>
      <c r="J22" s="21"/>
      <c r="K22" s="21" t="s">
        <v>80</v>
      </c>
      <c r="L22" s="33">
        <f t="shared" si="2"/>
        <v>1.5</v>
      </c>
      <c r="M22" s="21"/>
      <c r="N22" s="21" t="s">
        <v>73</v>
      </c>
      <c r="O22" s="33">
        <f t="shared" si="3"/>
        <v>7.5</v>
      </c>
      <c r="P22" s="21" t="s">
        <v>80</v>
      </c>
      <c r="Q22" s="21"/>
      <c r="R22" s="33">
        <f t="shared" si="4"/>
        <v>15</v>
      </c>
      <c r="S22" s="21"/>
      <c r="T22" s="21"/>
      <c r="U22" s="21"/>
      <c r="V22" s="21" t="s">
        <v>73</v>
      </c>
      <c r="W22" s="33">
        <f t="shared" si="5"/>
        <v>1.5</v>
      </c>
      <c r="X22" s="21" t="s">
        <v>80</v>
      </c>
      <c r="Y22" s="21"/>
      <c r="Z22" s="21"/>
      <c r="AA22" s="33">
        <f t="shared" si="6"/>
        <v>15</v>
      </c>
      <c r="AB22" s="37">
        <f t="shared" si="7"/>
        <v>48</v>
      </c>
      <c r="AC22" s="38">
        <f t="shared" si="8"/>
        <v>48</v>
      </c>
      <c r="AD22" t="str">
        <f t="shared" si="9"/>
        <v>ACEPTABLE</v>
      </c>
    </row>
    <row r="23" spans="1:30" ht="28.8" x14ac:dyDescent="0.3">
      <c r="A23" s="90">
        <v>16</v>
      </c>
      <c r="B23" s="31" t="s">
        <v>145</v>
      </c>
      <c r="C23" s="34" t="s">
        <v>182</v>
      </c>
      <c r="D23" s="31">
        <f t="shared" si="0"/>
        <v>16</v>
      </c>
      <c r="E23" s="32" t="s">
        <v>73</v>
      </c>
      <c r="F23" s="21"/>
      <c r="G23" s="21"/>
      <c r="H23" s="33">
        <f t="shared" si="1"/>
        <v>15</v>
      </c>
      <c r="I23" s="21"/>
      <c r="J23" s="21" t="s">
        <v>73</v>
      </c>
      <c r="K23" s="21"/>
      <c r="L23" s="33">
        <f t="shared" si="2"/>
        <v>7.5</v>
      </c>
      <c r="M23" s="21" t="s">
        <v>73</v>
      </c>
      <c r="N23" s="21"/>
      <c r="O23" s="33">
        <f t="shared" si="3"/>
        <v>15</v>
      </c>
      <c r="P23" s="21" t="s">
        <v>73</v>
      </c>
      <c r="Q23" s="21"/>
      <c r="R23" s="33">
        <f t="shared" si="4"/>
        <v>15</v>
      </c>
      <c r="S23" s="21" t="s">
        <v>73</v>
      </c>
      <c r="T23" s="21"/>
      <c r="U23" s="21"/>
      <c r="V23" s="21"/>
      <c r="W23" s="33">
        <f t="shared" si="5"/>
        <v>15</v>
      </c>
      <c r="X23" s="21" t="s">
        <v>80</v>
      </c>
      <c r="Y23" s="21"/>
      <c r="Z23" s="21"/>
      <c r="AA23" s="33">
        <f t="shared" si="6"/>
        <v>15</v>
      </c>
      <c r="AB23" s="37">
        <f t="shared" si="7"/>
        <v>82.5</v>
      </c>
      <c r="AC23" s="38">
        <f t="shared" si="8"/>
        <v>83</v>
      </c>
      <c r="AD23" t="str">
        <f t="shared" si="9"/>
        <v>FUERTE</v>
      </c>
    </row>
    <row r="24" spans="1:30" ht="57.6" x14ac:dyDescent="0.3">
      <c r="A24" s="90">
        <v>17</v>
      </c>
      <c r="B24" s="31" t="s">
        <v>146</v>
      </c>
      <c r="C24" s="34" t="s">
        <v>160</v>
      </c>
      <c r="D24" s="31">
        <f t="shared" si="0"/>
        <v>17</v>
      </c>
      <c r="E24" s="32" t="s">
        <v>73</v>
      </c>
      <c r="F24" s="21"/>
      <c r="G24" s="21"/>
      <c r="H24" s="33">
        <f t="shared" si="1"/>
        <v>15</v>
      </c>
      <c r="I24" s="21"/>
      <c r="J24" s="21" t="s">
        <v>73</v>
      </c>
      <c r="K24" s="21"/>
      <c r="L24" s="33">
        <f t="shared" si="2"/>
        <v>7.5</v>
      </c>
      <c r="M24" s="21" t="s">
        <v>73</v>
      </c>
      <c r="N24" s="21"/>
      <c r="O24" s="33">
        <f t="shared" si="3"/>
        <v>15</v>
      </c>
      <c r="P24" s="21" t="s">
        <v>73</v>
      </c>
      <c r="Q24" s="21"/>
      <c r="R24" s="33">
        <f t="shared" si="4"/>
        <v>15</v>
      </c>
      <c r="S24" s="21" t="s">
        <v>73</v>
      </c>
      <c r="T24" s="21"/>
      <c r="U24" s="21"/>
      <c r="V24" s="21"/>
      <c r="W24" s="33">
        <f t="shared" si="5"/>
        <v>15</v>
      </c>
      <c r="X24" s="21" t="s">
        <v>80</v>
      </c>
      <c r="Y24" s="21"/>
      <c r="Z24" s="21"/>
      <c r="AA24" s="33">
        <f t="shared" si="6"/>
        <v>15</v>
      </c>
      <c r="AB24" s="37">
        <f t="shared" si="7"/>
        <v>82.5</v>
      </c>
      <c r="AC24" s="38">
        <f t="shared" si="8"/>
        <v>83</v>
      </c>
      <c r="AD24" t="str">
        <f t="shared" si="9"/>
        <v>FUERTE</v>
      </c>
    </row>
    <row r="25" spans="1:30" ht="57.6" x14ac:dyDescent="0.3">
      <c r="A25" s="90">
        <v>18</v>
      </c>
      <c r="B25" s="31" t="s">
        <v>159</v>
      </c>
      <c r="C25" s="34" t="s">
        <v>161</v>
      </c>
      <c r="D25" s="31">
        <f t="shared" si="0"/>
        <v>18</v>
      </c>
      <c r="E25" s="32" t="s">
        <v>80</v>
      </c>
      <c r="F25" s="21"/>
      <c r="G25" s="21"/>
      <c r="H25" s="33">
        <f t="shared" si="1"/>
        <v>15</v>
      </c>
      <c r="I25" s="21"/>
      <c r="J25" s="21"/>
      <c r="K25" s="21" t="s">
        <v>80</v>
      </c>
      <c r="L25" s="33">
        <f t="shared" si="2"/>
        <v>1.5</v>
      </c>
      <c r="M25" s="21" t="s">
        <v>80</v>
      </c>
      <c r="N25" s="21"/>
      <c r="O25" s="33">
        <f t="shared" si="3"/>
        <v>15</v>
      </c>
      <c r="P25" s="21"/>
      <c r="Q25" s="21" t="s">
        <v>80</v>
      </c>
      <c r="R25" s="33">
        <f t="shared" si="4"/>
        <v>1.5</v>
      </c>
      <c r="S25" s="21" t="s">
        <v>80</v>
      </c>
      <c r="T25" s="21"/>
      <c r="U25" s="21"/>
      <c r="V25" s="21"/>
      <c r="W25" s="33">
        <f t="shared" si="5"/>
        <v>15</v>
      </c>
      <c r="X25" s="21" t="s">
        <v>80</v>
      </c>
      <c r="Y25" s="21"/>
      <c r="Z25" s="21"/>
      <c r="AA25" s="33">
        <f t="shared" si="6"/>
        <v>15</v>
      </c>
      <c r="AB25" s="37">
        <f t="shared" si="7"/>
        <v>63</v>
      </c>
      <c r="AC25" s="38">
        <f t="shared" si="8"/>
        <v>63</v>
      </c>
      <c r="AD25" t="str">
        <f t="shared" si="9"/>
        <v>MODERADO</v>
      </c>
    </row>
    <row r="26" spans="1:30" ht="43.2" x14ac:dyDescent="0.3">
      <c r="A26" s="90">
        <v>19</v>
      </c>
      <c r="B26" s="31" t="s">
        <v>163</v>
      </c>
      <c r="C26" s="34" t="s">
        <v>164</v>
      </c>
      <c r="D26" s="31">
        <f t="shared" si="0"/>
        <v>19</v>
      </c>
      <c r="E26" s="32" t="s">
        <v>80</v>
      </c>
      <c r="F26" s="21"/>
      <c r="G26" s="21"/>
      <c r="H26" s="33">
        <f t="shared" si="1"/>
        <v>15</v>
      </c>
      <c r="I26" s="21"/>
      <c r="J26" s="21"/>
      <c r="K26" s="21" t="s">
        <v>80</v>
      </c>
      <c r="L26" s="33">
        <f t="shared" si="2"/>
        <v>1.5</v>
      </c>
      <c r="M26" s="21" t="s">
        <v>80</v>
      </c>
      <c r="N26" s="21"/>
      <c r="O26" s="33">
        <f t="shared" si="3"/>
        <v>15</v>
      </c>
      <c r="P26" s="21" t="s">
        <v>80</v>
      </c>
      <c r="Q26" s="21"/>
      <c r="R26" s="33">
        <f t="shared" si="4"/>
        <v>15</v>
      </c>
      <c r="S26" s="21" t="s">
        <v>80</v>
      </c>
      <c r="T26" s="21"/>
      <c r="U26" s="21"/>
      <c r="V26" s="21"/>
      <c r="W26" s="33">
        <f t="shared" si="5"/>
        <v>15</v>
      </c>
      <c r="X26" s="21" t="s">
        <v>80</v>
      </c>
      <c r="Y26" s="21"/>
      <c r="Z26" s="21"/>
      <c r="AA26" s="33">
        <f t="shared" si="6"/>
        <v>15</v>
      </c>
      <c r="AB26" s="37">
        <f t="shared" si="7"/>
        <v>76.5</v>
      </c>
      <c r="AC26" s="38">
        <f t="shared" si="8"/>
        <v>77</v>
      </c>
      <c r="AD26" t="str">
        <f t="shared" si="9"/>
        <v>FUERTE</v>
      </c>
    </row>
    <row r="27" spans="1:30" ht="43.2" x14ac:dyDescent="0.3">
      <c r="A27" s="90">
        <v>20</v>
      </c>
      <c r="B27" s="31" t="s">
        <v>189</v>
      </c>
      <c r="C27" s="34" t="s">
        <v>190</v>
      </c>
      <c r="D27" s="31">
        <f t="shared" si="0"/>
        <v>20</v>
      </c>
      <c r="E27" s="32" t="s">
        <v>80</v>
      </c>
      <c r="F27" s="21"/>
      <c r="G27" s="21"/>
      <c r="H27" s="33">
        <f t="shared" si="1"/>
        <v>15</v>
      </c>
      <c r="I27" s="21"/>
      <c r="J27" s="21" t="s">
        <v>80</v>
      </c>
      <c r="K27" s="21"/>
      <c r="L27" s="33">
        <f t="shared" si="2"/>
        <v>7.5</v>
      </c>
      <c r="M27" s="21" t="s">
        <v>80</v>
      </c>
      <c r="N27" s="21"/>
      <c r="O27" s="33">
        <f t="shared" si="3"/>
        <v>15</v>
      </c>
      <c r="P27" s="21" t="s">
        <v>80</v>
      </c>
      <c r="Q27" s="21"/>
      <c r="R27" s="33">
        <f t="shared" si="4"/>
        <v>15</v>
      </c>
      <c r="S27" s="21" t="s">
        <v>80</v>
      </c>
      <c r="T27" s="21"/>
      <c r="U27" s="21"/>
      <c r="V27" s="21"/>
      <c r="W27" s="33">
        <f t="shared" si="5"/>
        <v>15</v>
      </c>
      <c r="X27" s="21" t="s">
        <v>80</v>
      </c>
      <c r="Y27" s="21"/>
      <c r="Z27" s="21"/>
      <c r="AA27" s="33">
        <f t="shared" si="6"/>
        <v>15</v>
      </c>
      <c r="AB27" s="37">
        <f t="shared" si="7"/>
        <v>82.5</v>
      </c>
      <c r="AC27" s="38">
        <f t="shared" si="8"/>
        <v>83</v>
      </c>
      <c r="AD27" t="str">
        <f t="shared" si="9"/>
        <v>FUERTE</v>
      </c>
    </row>
    <row r="28" spans="1:30" ht="43.2" x14ac:dyDescent="0.3">
      <c r="A28" s="90">
        <v>21</v>
      </c>
      <c r="B28" s="31" t="s">
        <v>191</v>
      </c>
      <c r="C28" s="34" t="s">
        <v>192</v>
      </c>
      <c r="D28" s="31">
        <f t="shared" si="0"/>
        <v>21</v>
      </c>
      <c r="E28" s="32"/>
      <c r="F28" s="21" t="s">
        <v>80</v>
      </c>
      <c r="G28" s="21"/>
      <c r="H28" s="33">
        <f t="shared" si="1"/>
        <v>7.5</v>
      </c>
      <c r="I28" s="21"/>
      <c r="J28" s="21" t="s">
        <v>80</v>
      </c>
      <c r="K28" s="21"/>
      <c r="L28" s="33">
        <f t="shared" si="2"/>
        <v>7.5</v>
      </c>
      <c r="M28" s="21" t="s">
        <v>80</v>
      </c>
      <c r="N28" s="21"/>
      <c r="O28" s="33">
        <f t="shared" si="3"/>
        <v>15</v>
      </c>
      <c r="P28" s="21" t="s">
        <v>80</v>
      </c>
      <c r="Q28" s="21"/>
      <c r="R28" s="33">
        <f t="shared" si="4"/>
        <v>15</v>
      </c>
      <c r="S28" s="21" t="s">
        <v>80</v>
      </c>
      <c r="T28" s="21"/>
      <c r="U28" s="21"/>
      <c r="V28" s="21"/>
      <c r="W28" s="33">
        <f t="shared" si="5"/>
        <v>15</v>
      </c>
      <c r="X28" s="21" t="s">
        <v>80</v>
      </c>
      <c r="Y28" s="21"/>
      <c r="Z28" s="21"/>
      <c r="AA28" s="33">
        <f t="shared" si="6"/>
        <v>15</v>
      </c>
      <c r="AB28" s="37">
        <f t="shared" si="7"/>
        <v>75</v>
      </c>
      <c r="AC28" s="38">
        <f t="shared" si="8"/>
        <v>75</v>
      </c>
      <c r="AD28" t="str">
        <f t="shared" si="9"/>
        <v>FUERTE</v>
      </c>
    </row>
    <row r="29" spans="1:30" x14ac:dyDescent="0.3">
      <c r="A29" s="90">
        <v>22</v>
      </c>
      <c r="B29" s="31"/>
      <c r="C29" s="34"/>
      <c r="D29" s="31">
        <f t="shared" si="0"/>
        <v>22</v>
      </c>
      <c r="E29" s="32"/>
      <c r="F29" s="21"/>
      <c r="G29" s="21"/>
      <c r="H29" s="33">
        <f t="shared" si="1"/>
        <v>0</v>
      </c>
      <c r="I29" s="21"/>
      <c r="J29" s="21"/>
      <c r="K29" s="21"/>
      <c r="L29" s="33">
        <f t="shared" si="2"/>
        <v>0</v>
      </c>
      <c r="M29" s="21"/>
      <c r="N29" s="21"/>
      <c r="O29" s="33">
        <f t="shared" si="3"/>
        <v>0</v>
      </c>
      <c r="P29" s="21"/>
      <c r="Q29" s="21"/>
      <c r="R29" s="33">
        <f t="shared" si="4"/>
        <v>0</v>
      </c>
      <c r="S29" s="21"/>
      <c r="T29" s="21"/>
      <c r="U29" s="21"/>
      <c r="V29" s="21"/>
      <c r="W29" s="33">
        <f t="shared" si="5"/>
        <v>0</v>
      </c>
      <c r="X29" s="21"/>
      <c r="Y29" s="21"/>
      <c r="Z29" s="21"/>
      <c r="AA29" s="33">
        <f t="shared" si="6"/>
        <v>0</v>
      </c>
      <c r="AB29" s="37">
        <f t="shared" si="7"/>
        <v>0</v>
      </c>
      <c r="AC29" s="38">
        <f t="shared" si="8"/>
        <v>0</v>
      </c>
      <c r="AD29" t="str">
        <f t="shared" si="9"/>
        <v>INEXISTENTE</v>
      </c>
    </row>
    <row r="30" spans="1:30" x14ac:dyDescent="0.3">
      <c r="A30" s="90">
        <v>23</v>
      </c>
      <c r="B30" s="31"/>
      <c r="C30" s="34"/>
      <c r="D30" s="31">
        <f t="shared" si="0"/>
        <v>23</v>
      </c>
      <c r="E30" s="32"/>
      <c r="F30" s="21"/>
      <c r="G30" s="21"/>
      <c r="H30" s="33">
        <f t="shared" si="1"/>
        <v>0</v>
      </c>
      <c r="I30" s="21"/>
      <c r="J30" s="21"/>
      <c r="K30" s="21"/>
      <c r="L30" s="33">
        <f t="shared" si="2"/>
        <v>0</v>
      </c>
      <c r="M30" s="21"/>
      <c r="N30" s="21"/>
      <c r="O30" s="33">
        <f t="shared" si="3"/>
        <v>0</v>
      </c>
      <c r="P30" s="21"/>
      <c r="Q30" s="21"/>
      <c r="R30" s="33">
        <f t="shared" si="4"/>
        <v>0</v>
      </c>
      <c r="S30" s="21"/>
      <c r="T30" s="21"/>
      <c r="U30" s="21"/>
      <c r="V30" s="21"/>
      <c r="W30" s="33">
        <f t="shared" si="5"/>
        <v>0</v>
      </c>
      <c r="X30" s="21"/>
      <c r="Y30" s="21"/>
      <c r="Z30" s="21"/>
      <c r="AA30" s="33">
        <f t="shared" si="6"/>
        <v>0</v>
      </c>
      <c r="AB30" s="37">
        <f t="shared" si="7"/>
        <v>0</v>
      </c>
      <c r="AC30" s="38">
        <f t="shared" si="8"/>
        <v>0</v>
      </c>
      <c r="AD30" t="str">
        <f t="shared" si="9"/>
        <v>INEXISTENTE</v>
      </c>
    </row>
    <row r="31" spans="1:30" x14ac:dyDescent="0.3">
      <c r="A31" s="90">
        <v>24</v>
      </c>
      <c r="B31" s="31"/>
      <c r="C31" s="34"/>
      <c r="D31" s="31">
        <f t="shared" si="0"/>
        <v>24</v>
      </c>
      <c r="E31" s="32"/>
      <c r="F31" s="21"/>
      <c r="G31" s="21"/>
      <c r="H31" s="33">
        <f t="shared" si="1"/>
        <v>0</v>
      </c>
      <c r="I31" s="21"/>
      <c r="J31" s="21"/>
      <c r="K31" s="21"/>
      <c r="L31" s="33">
        <f t="shared" si="2"/>
        <v>0</v>
      </c>
      <c r="M31" s="21"/>
      <c r="N31" s="21"/>
      <c r="O31" s="33">
        <f t="shared" si="3"/>
        <v>0</v>
      </c>
      <c r="P31" s="21"/>
      <c r="Q31" s="21"/>
      <c r="R31" s="33">
        <f t="shared" si="4"/>
        <v>0</v>
      </c>
      <c r="S31" s="21"/>
      <c r="T31" s="21"/>
      <c r="U31" s="21"/>
      <c r="V31" s="21"/>
      <c r="W31" s="33">
        <f t="shared" si="5"/>
        <v>0</v>
      </c>
      <c r="X31" s="21"/>
      <c r="Y31" s="21"/>
      <c r="Z31" s="21"/>
      <c r="AA31" s="33">
        <f t="shared" si="6"/>
        <v>0</v>
      </c>
      <c r="AB31" s="37">
        <f t="shared" si="7"/>
        <v>0</v>
      </c>
      <c r="AC31" s="38">
        <f t="shared" si="8"/>
        <v>0</v>
      </c>
      <c r="AD31" t="str">
        <f t="shared" si="9"/>
        <v>INEXISTENTE</v>
      </c>
    </row>
    <row r="32" spans="1:30" x14ac:dyDescent="0.3">
      <c r="A32" s="90">
        <v>25</v>
      </c>
      <c r="B32" s="31"/>
      <c r="C32" s="34"/>
      <c r="D32" s="31">
        <f t="shared" si="0"/>
        <v>25</v>
      </c>
      <c r="E32" s="32"/>
      <c r="F32" s="21"/>
      <c r="G32" s="21"/>
      <c r="H32" s="33">
        <f t="shared" si="1"/>
        <v>0</v>
      </c>
      <c r="I32" s="21"/>
      <c r="J32" s="21"/>
      <c r="K32" s="21"/>
      <c r="L32" s="33">
        <f t="shared" si="2"/>
        <v>0</v>
      </c>
      <c r="M32" s="21"/>
      <c r="N32" s="21"/>
      <c r="O32" s="33">
        <f t="shared" si="3"/>
        <v>0</v>
      </c>
      <c r="P32" s="21"/>
      <c r="Q32" s="21"/>
      <c r="R32" s="33">
        <f t="shared" si="4"/>
        <v>0</v>
      </c>
      <c r="S32" s="21"/>
      <c r="T32" s="21"/>
      <c r="U32" s="21"/>
      <c r="V32" s="21"/>
      <c r="W32" s="33">
        <f t="shared" si="5"/>
        <v>0</v>
      </c>
      <c r="X32" s="21"/>
      <c r="Y32" s="21"/>
      <c r="Z32" s="21"/>
      <c r="AA32" s="33">
        <f t="shared" si="6"/>
        <v>0</v>
      </c>
      <c r="AB32" s="37">
        <f t="shared" si="7"/>
        <v>0</v>
      </c>
      <c r="AC32" s="38">
        <f t="shared" si="8"/>
        <v>0</v>
      </c>
      <c r="AD32" t="str">
        <f t="shared" si="9"/>
        <v>INEXISTENTE</v>
      </c>
    </row>
    <row r="33" spans="1:30" x14ac:dyDescent="0.3">
      <c r="A33" s="90">
        <v>26</v>
      </c>
      <c r="B33" s="31"/>
      <c r="C33" s="34"/>
      <c r="D33" s="31">
        <f t="shared" si="0"/>
        <v>26</v>
      </c>
      <c r="E33" s="32"/>
      <c r="F33" s="21"/>
      <c r="G33" s="21"/>
      <c r="H33" s="33">
        <f t="shared" si="1"/>
        <v>0</v>
      </c>
      <c r="I33" s="21"/>
      <c r="J33" s="21"/>
      <c r="K33" s="21"/>
      <c r="L33" s="33">
        <f t="shared" si="2"/>
        <v>0</v>
      </c>
      <c r="M33" s="21"/>
      <c r="N33" s="21"/>
      <c r="O33" s="33">
        <f t="shared" si="3"/>
        <v>0</v>
      </c>
      <c r="P33" s="21"/>
      <c r="Q33" s="21"/>
      <c r="R33" s="33">
        <f t="shared" si="4"/>
        <v>0</v>
      </c>
      <c r="S33" s="21"/>
      <c r="T33" s="21"/>
      <c r="U33" s="21"/>
      <c r="V33" s="21"/>
      <c r="W33" s="33">
        <f t="shared" si="5"/>
        <v>0</v>
      </c>
      <c r="X33" s="21"/>
      <c r="Y33" s="21"/>
      <c r="Z33" s="21"/>
      <c r="AA33" s="33">
        <f t="shared" si="6"/>
        <v>0</v>
      </c>
      <c r="AB33" s="37">
        <f t="shared" si="7"/>
        <v>0</v>
      </c>
      <c r="AC33" s="38">
        <f t="shared" si="8"/>
        <v>0</v>
      </c>
      <c r="AD33" t="str">
        <f t="shared" si="9"/>
        <v>INEXISTENTE</v>
      </c>
    </row>
    <row r="34" spans="1:30" x14ac:dyDescent="0.3">
      <c r="A34" s="90">
        <v>27</v>
      </c>
      <c r="B34" s="31"/>
      <c r="C34" s="34"/>
      <c r="D34" s="31">
        <f t="shared" si="0"/>
        <v>27</v>
      </c>
      <c r="E34" s="32"/>
      <c r="F34" s="21"/>
      <c r="G34" s="21"/>
      <c r="H34" s="33">
        <f t="shared" si="1"/>
        <v>0</v>
      </c>
      <c r="I34" s="21"/>
      <c r="J34" s="21"/>
      <c r="K34" s="21"/>
      <c r="L34" s="33">
        <f t="shared" si="2"/>
        <v>0</v>
      </c>
      <c r="M34" s="21"/>
      <c r="N34" s="21"/>
      <c r="O34" s="33">
        <f t="shared" si="3"/>
        <v>0</v>
      </c>
      <c r="P34" s="21"/>
      <c r="Q34" s="21"/>
      <c r="R34" s="33">
        <f t="shared" si="4"/>
        <v>0</v>
      </c>
      <c r="S34" s="21"/>
      <c r="T34" s="21"/>
      <c r="U34" s="21"/>
      <c r="V34" s="21"/>
      <c r="W34" s="33">
        <f t="shared" si="5"/>
        <v>0</v>
      </c>
      <c r="X34" s="21"/>
      <c r="Y34" s="21"/>
      <c r="Z34" s="21"/>
      <c r="AA34" s="33">
        <f t="shared" si="6"/>
        <v>0</v>
      </c>
      <c r="AB34" s="37">
        <f t="shared" si="7"/>
        <v>0</v>
      </c>
      <c r="AC34" s="38">
        <f t="shared" si="8"/>
        <v>0</v>
      </c>
      <c r="AD34" t="str">
        <f t="shared" si="9"/>
        <v>INEXISTENTE</v>
      </c>
    </row>
    <row r="35" spans="1:30" x14ac:dyDescent="0.3">
      <c r="A35" s="90">
        <v>28</v>
      </c>
      <c r="B35" s="31"/>
      <c r="C35" s="34"/>
      <c r="D35" s="31">
        <f t="shared" si="0"/>
        <v>28</v>
      </c>
      <c r="E35" s="32"/>
      <c r="F35" s="21"/>
      <c r="G35" s="21"/>
      <c r="H35" s="33">
        <f t="shared" si="1"/>
        <v>0</v>
      </c>
      <c r="I35" s="21"/>
      <c r="J35" s="21"/>
      <c r="K35" s="21"/>
      <c r="L35" s="33">
        <f t="shared" si="2"/>
        <v>0</v>
      </c>
      <c r="M35" s="21"/>
      <c r="N35" s="21"/>
      <c r="O35" s="33">
        <f t="shared" si="3"/>
        <v>0</v>
      </c>
      <c r="P35" s="21"/>
      <c r="Q35" s="21"/>
      <c r="R35" s="33">
        <f t="shared" si="4"/>
        <v>0</v>
      </c>
      <c r="S35" s="21"/>
      <c r="T35" s="21"/>
      <c r="U35" s="21"/>
      <c r="V35" s="21"/>
      <c r="W35" s="33">
        <f t="shared" si="5"/>
        <v>0</v>
      </c>
      <c r="X35" s="21"/>
      <c r="Y35" s="21"/>
      <c r="Z35" s="21"/>
      <c r="AA35" s="33">
        <f t="shared" si="6"/>
        <v>0</v>
      </c>
      <c r="AB35" s="37">
        <f t="shared" si="7"/>
        <v>0</v>
      </c>
      <c r="AC35" s="38">
        <f t="shared" si="8"/>
        <v>0</v>
      </c>
      <c r="AD35" t="str">
        <f t="shared" si="9"/>
        <v>INEXISTENTE</v>
      </c>
    </row>
    <row r="36" spans="1:30" x14ac:dyDescent="0.3">
      <c r="A36" s="90">
        <v>29</v>
      </c>
      <c r="B36" s="31"/>
      <c r="C36" s="34"/>
      <c r="D36" s="31">
        <f t="shared" si="0"/>
        <v>29</v>
      </c>
      <c r="E36" s="32"/>
      <c r="F36" s="21"/>
      <c r="G36" s="21"/>
      <c r="H36" s="33">
        <f t="shared" si="1"/>
        <v>0</v>
      </c>
      <c r="I36" s="21"/>
      <c r="J36" s="21"/>
      <c r="K36" s="21"/>
      <c r="L36" s="33">
        <f t="shared" si="2"/>
        <v>0</v>
      </c>
      <c r="M36" s="21"/>
      <c r="N36" s="21"/>
      <c r="O36" s="33">
        <f t="shared" si="3"/>
        <v>0</v>
      </c>
      <c r="P36" s="21"/>
      <c r="Q36" s="21"/>
      <c r="R36" s="33">
        <f t="shared" si="4"/>
        <v>0</v>
      </c>
      <c r="S36" s="21"/>
      <c r="T36" s="21"/>
      <c r="U36" s="21"/>
      <c r="V36" s="21"/>
      <c r="W36" s="33">
        <f t="shared" si="5"/>
        <v>0</v>
      </c>
      <c r="X36" s="21"/>
      <c r="Y36" s="21"/>
      <c r="Z36" s="21"/>
      <c r="AA36" s="33">
        <f t="shared" si="6"/>
        <v>0</v>
      </c>
      <c r="AB36" s="37">
        <f t="shared" si="7"/>
        <v>0</v>
      </c>
      <c r="AC36" s="38">
        <f t="shared" si="8"/>
        <v>0</v>
      </c>
      <c r="AD36" t="str">
        <f t="shared" si="9"/>
        <v>INEXISTENTE</v>
      </c>
    </row>
    <row r="37" spans="1:30" ht="15" thickBot="1" x14ac:dyDescent="0.35">
      <c r="A37" s="91">
        <v>30</v>
      </c>
      <c r="B37" s="77" t="s">
        <v>89</v>
      </c>
      <c r="C37" s="36" t="s">
        <v>89</v>
      </c>
      <c r="D37" s="31">
        <f t="shared" si="0"/>
        <v>30</v>
      </c>
      <c r="E37" s="32"/>
      <c r="F37" s="21" t="s">
        <v>73</v>
      </c>
      <c r="G37" s="21"/>
      <c r="H37" s="33">
        <f t="shared" si="1"/>
        <v>7.5</v>
      </c>
      <c r="I37" s="21"/>
      <c r="J37" s="21" t="s">
        <v>73</v>
      </c>
      <c r="K37" s="21"/>
      <c r="L37" s="33">
        <f t="shared" si="2"/>
        <v>7.5</v>
      </c>
      <c r="M37" s="21"/>
      <c r="N37" s="21" t="s">
        <v>73</v>
      </c>
      <c r="O37" s="33">
        <f t="shared" si="3"/>
        <v>7.5</v>
      </c>
      <c r="P37" s="21"/>
      <c r="Q37" s="21"/>
      <c r="R37" s="33">
        <f t="shared" si="4"/>
        <v>0</v>
      </c>
      <c r="S37" s="21"/>
      <c r="T37" s="21" t="s">
        <v>73</v>
      </c>
      <c r="U37" s="21"/>
      <c r="V37" s="21"/>
      <c r="W37" s="33">
        <f t="shared" si="5"/>
        <v>10</v>
      </c>
      <c r="X37" s="21"/>
      <c r="Y37" s="21" t="s">
        <v>73</v>
      </c>
      <c r="Z37" s="21"/>
      <c r="AA37" s="33">
        <f t="shared" si="6"/>
        <v>7.5</v>
      </c>
      <c r="AB37" s="37">
        <f t="shared" si="7"/>
        <v>40</v>
      </c>
      <c r="AC37" s="38">
        <f t="shared" si="8"/>
        <v>40</v>
      </c>
      <c r="AD37" t="str">
        <f t="shared" si="9"/>
        <v>DEBIL</v>
      </c>
    </row>
  </sheetData>
  <mergeCells count="10">
    <mergeCell ref="C1:F1"/>
    <mergeCell ref="A6:C6"/>
    <mergeCell ref="AB6:AD6"/>
    <mergeCell ref="X6:AA6"/>
    <mergeCell ref="E6:H6"/>
    <mergeCell ref="I6:L6"/>
    <mergeCell ref="M6:O6"/>
    <mergeCell ref="P6:R6"/>
    <mergeCell ref="S6:W6"/>
    <mergeCell ref="A1:B1"/>
  </mergeCells>
  <conditionalFormatting sqref="AD8:AD37">
    <cfRule type="containsText" dxfId="4" priority="1" operator="containsText" text="FUERTE">
      <formula>NOT(ISERROR(SEARCH("FUERTE",AD8)))</formula>
    </cfRule>
    <cfRule type="containsText" dxfId="3" priority="2" operator="containsText" text="MODERADO">
      <formula>NOT(ISERROR(SEARCH("MODERADO",AD8)))</formula>
    </cfRule>
    <cfRule type="containsText" dxfId="2" priority="3" operator="containsText" text="ACEPTABLE">
      <formula>NOT(ISERROR(SEARCH("ACEPTABLE",AD8)))</formula>
    </cfRule>
    <cfRule type="containsText" dxfId="1" priority="4" operator="containsText" text="DEBIL">
      <formula>NOT(ISERROR(SEARCH("DEBIL",AD8)))</formula>
    </cfRule>
    <cfRule type="containsText" dxfId="0" priority="5" operator="containsText" text="INEXISTENTE">
      <formula>NOT(ISERROR(SEARCH("INEXISTENTE",AD8)))</formula>
    </cfRule>
  </conditionalFormatting>
  <pageMargins left="0.70866141732283472" right="0.70866141732283472" top="0.74803149606299213" bottom="0.74803149606299213" header="0.31496062992125984" footer="0.31496062992125984"/>
  <pageSetup paperSize="5" scale="46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W28"/>
  <sheetViews>
    <sheetView workbookViewId="0">
      <selection activeCell="H1" sqref="H1"/>
    </sheetView>
  </sheetViews>
  <sheetFormatPr baseColWidth="10" defaultRowHeight="18" x14ac:dyDescent="0.35"/>
  <cols>
    <col min="2" max="2" width="3.77734375" customWidth="1"/>
    <col min="3" max="3" width="5.5546875" customWidth="1"/>
    <col min="4" max="4" width="15.77734375" bestFit="1" customWidth="1"/>
    <col min="5" max="5" width="28.21875" style="10" customWidth="1"/>
    <col min="6" max="6" width="24" style="10" customWidth="1"/>
    <col min="7" max="7" width="34.5546875" style="10" customWidth="1"/>
    <col min="8" max="8" width="34.21875" style="10" customWidth="1"/>
    <col min="9" max="9" width="36.21875" style="10" customWidth="1"/>
    <col min="11" max="11" width="13" bestFit="1" customWidth="1"/>
    <col min="20" max="20" width="11.77734375" bestFit="1" customWidth="1"/>
    <col min="22" max="22" width="11.77734375" bestFit="1" customWidth="1"/>
  </cols>
  <sheetData>
    <row r="2" spans="2:23" x14ac:dyDescent="0.35">
      <c r="D2" s="19" t="s">
        <v>108</v>
      </c>
    </row>
    <row r="3" spans="2:23" ht="18.600000000000001" thickBot="1" x14ac:dyDescent="0.4">
      <c r="G3"/>
      <c r="H3"/>
      <c r="I3"/>
    </row>
    <row r="4" spans="2:23" ht="18.600000000000001" thickBot="1" x14ac:dyDescent="0.35">
      <c r="B4" s="45">
        <v>5</v>
      </c>
      <c r="C4" s="116" t="s">
        <v>33</v>
      </c>
      <c r="D4" s="17" t="s">
        <v>42</v>
      </c>
      <c r="E4" s="57" t="str">
        <f>CONCATENATE(IF(AND('Matriz Riesgo'!H5=5,'Matriz Riesgo'!K5=1)," "&amp;'Matriz Riesgo'!A5&amp;","," "),IF(AND('Matriz Riesgo'!H6=5,'Matriz Riesgo'!K6=1)," "&amp;'Matriz Riesgo'!A6&amp;","," "),IF(AND('Matriz Riesgo'!H7=5,'Matriz Riesgo'!K7=1)," "&amp;'Matriz Riesgo'!A7&amp;","," "),IF(AND('Matriz Riesgo'!H8=5,'Matriz Riesgo'!K8=1)," "&amp;'Matriz Riesgo'!A8&amp;","," "),IF(AND('Matriz Riesgo'!H9=5,'Matriz Riesgo'!K9=1)," "&amp;'Matriz Riesgo'!A9&amp;","," "),IF(AND('Matriz Riesgo'!H10=5,'Matriz Riesgo'!K10=1)," "&amp;'Matriz Riesgo'!A10&amp;","," "),IF(AND('Matriz Riesgo'!H11=5,'Matriz Riesgo'!K11=1)," "&amp;'Matriz Riesgo'!A11&amp;","," "),IF(AND('Matriz Riesgo'!H12=5,'Matriz Riesgo'!K12=1)," "&amp;'Matriz Riesgo'!A12&amp;","," "),IF(AND('Matriz Riesgo'!H13=5,'Matriz Riesgo'!K13=1)," "&amp;'Matriz Riesgo'!A13&amp;","," "),IF(AND('Matriz Riesgo'!H14=5,'Matriz Riesgo'!K14=1)," "&amp;'Matriz Riesgo'!A14&amp;","," "),IF(AND('Matriz Riesgo'!H15=5,'Matriz Riesgo'!K15=1)," "&amp;'Matriz Riesgo'!A15&amp;","," "),IF(AND('Matriz Riesgo'!H16=5,'Matriz Riesgo'!K16=1)," "&amp;'Matriz Riesgo'!A16&amp;","," "),IF(AND('Matriz Riesgo'!H17=5,'Matriz Riesgo'!K17=1)," "&amp;'Matriz Riesgo'!A17&amp;","," "),IF(AND('Matriz Riesgo'!H18=5,'Matriz Riesgo'!K18=1)," "&amp;'Matriz Riesgo'!A18&amp;","," "),IF(AND('Matriz Riesgo'!H19=5,'Matriz Riesgo'!K19=1)," "&amp;'Matriz Riesgo'!A19&amp;","," "),IF(AND('Matriz Riesgo'!H20=5,'Matriz Riesgo'!K20=1)," "&amp;'Matriz Riesgo'!A20&amp;","," "),IF(AND('Matriz Riesgo'!H21=5,'Matriz Riesgo'!K21=1)," "&amp;'Matriz Riesgo'!A21&amp;","," "),IF(AND('Matriz Riesgo'!H22=5,'Matriz Riesgo'!K22=1)," "&amp;'Matriz Riesgo'!A22&amp;","," "),IF(AND('Matriz Riesgo'!H23=5,'Matriz Riesgo'!K23=1)," "&amp;'Matriz Riesgo'!A23&amp;","," "),IF(AND('Matriz Riesgo'!H24=5,'Matriz Riesgo'!K24=1)," "&amp;'Matriz Riesgo'!A24&amp;","," "),IF(AND('Matriz Riesgo'!H25=5,'Matriz Riesgo'!K25=1)," "&amp;'Matriz Riesgo'!A25," "))</f>
        <v xml:space="preserve">                     </v>
      </c>
      <c r="F4" s="54" t="str">
        <f>CONCATENATE(IF(AND('Matriz Riesgo'!H6=5,'Matriz Riesgo'!K6=2)," "&amp;'Matriz Riesgo'!A6&amp;","," "),IF(AND('Matriz Riesgo'!H7=5,'Matriz Riesgo'!K7=2)," "&amp;'Matriz Riesgo'!A7&amp;","," "),IF(AND('Matriz Riesgo'!H8=5,'Matriz Riesgo'!K8=2)," "&amp;'Matriz Riesgo'!A8&amp;","," "),IF(AND('Matriz Riesgo'!H9=5,'Matriz Riesgo'!K9=2)," "&amp;'Matriz Riesgo'!A9&amp;","," "),IF(AND('Matriz Riesgo'!H10=5,'Matriz Riesgo'!K10=2)," "&amp;'Matriz Riesgo'!A10&amp;","," "),IF(AND('Matriz Riesgo'!H11=5,'Matriz Riesgo'!K11=2)," "&amp;'Matriz Riesgo'!A11&amp;","," "),IF(AND('Matriz Riesgo'!H12=5,'Matriz Riesgo'!K12=2)," "&amp;'Matriz Riesgo'!A12&amp;","," "),IF(AND('Matriz Riesgo'!H13=5,'Matriz Riesgo'!K13=2)," "&amp;'Matriz Riesgo'!A13&amp;","," "),IF(AND('Matriz Riesgo'!H14=5,'Matriz Riesgo'!K14=2)," "&amp;'Matriz Riesgo'!A14&amp;","," "),IF(AND('Matriz Riesgo'!H15=5,'Matriz Riesgo'!K15=2)," "&amp;'Matriz Riesgo'!A15&amp;","," "),IF(AND('Matriz Riesgo'!H16=5,'Matriz Riesgo'!K16=2)," "&amp;'Matriz Riesgo'!A16&amp;","," "),IF(AND('Matriz Riesgo'!H17=5,'Matriz Riesgo'!K17=2)," "&amp;'Matriz Riesgo'!A17&amp;","," "),IF(AND('Matriz Riesgo'!H18=5,'Matriz Riesgo'!K18=2)," "&amp;'Matriz Riesgo'!A18&amp;","," "),IF(AND('Matriz Riesgo'!H19=5,'Matriz Riesgo'!K19=2)," "&amp;'Matriz Riesgo'!A19&amp;","," "),IF(AND('Matriz Riesgo'!H20=5,'Matriz Riesgo'!K20=2)," "&amp;'Matriz Riesgo'!A20&amp;","," "),IF(AND('Matriz Riesgo'!H21=5,'Matriz Riesgo'!K21=2)," "&amp;'Matriz Riesgo'!A21&amp;","," "),IF(AND('Matriz Riesgo'!H22=5,'Matriz Riesgo'!K22=2)," "&amp;'Matriz Riesgo'!A22&amp;","," "),IF(AND('Matriz Riesgo'!H23=5,'Matriz Riesgo'!K23=2)," "&amp;'Matriz Riesgo'!A23&amp;","," "),IF(AND('Matriz Riesgo'!H24=5,'Matriz Riesgo'!K24=2)," "&amp;'Matriz Riesgo'!A24&amp;","," "),IF(AND('Matriz Riesgo'!H25=5,'Matriz Riesgo'!K25=2)," "&amp;'Matriz Riesgo'!A25&amp;","," "),IF(AND('Matriz Riesgo'!H26=5,'Matriz Riesgo'!K26=2)," "&amp;'Matriz Riesgo'!A26," "))</f>
        <v xml:space="preserve">                     </v>
      </c>
      <c r="G4" s="54" t="str">
        <f>CONCATENATE(IF(AND('Matriz Riesgo'!H6=5,'Matriz Riesgo'!K6=3)," "&amp;'Matriz Riesgo'!A6&amp;","," "),IF(AND('Matriz Riesgo'!H7=5,'Matriz Riesgo'!K7=3)," "&amp;'Matriz Riesgo'!A7&amp;","," "),IF(AND('Matriz Riesgo'!H8=5,'Matriz Riesgo'!K8=3)," "&amp;'Matriz Riesgo'!A8&amp;","," "),IF(AND('Matriz Riesgo'!H9=5,'Matriz Riesgo'!K9=3)," "&amp;'Matriz Riesgo'!A9&amp;","," "),IF(AND('Matriz Riesgo'!H10=5,'Matriz Riesgo'!K10=3)," "&amp;'Matriz Riesgo'!A10&amp;","," "),IF(AND('Matriz Riesgo'!H11=5,'Matriz Riesgo'!K11=3)," "&amp;'Matriz Riesgo'!A11&amp;","," "),IF(AND('Matriz Riesgo'!H12=5,'Matriz Riesgo'!K12=3)," "&amp;'Matriz Riesgo'!A12&amp;","," "),IF(AND('Matriz Riesgo'!H13=5,'Matriz Riesgo'!K13=3)," "&amp;'Matriz Riesgo'!A13&amp;","," "),IF(AND('Matriz Riesgo'!H14=5,'Matriz Riesgo'!K14=3)," "&amp;'Matriz Riesgo'!A14&amp;","," "),IF(AND('Matriz Riesgo'!H15=5,'Matriz Riesgo'!K15=3)," "&amp;'Matriz Riesgo'!A15&amp;","," "),IF(AND('Matriz Riesgo'!H16=5,'Matriz Riesgo'!K16=3)," "&amp;'Matriz Riesgo'!A16&amp;","," "),IF(AND('Matriz Riesgo'!H17=5,'Matriz Riesgo'!K17=3)," "&amp;'Matriz Riesgo'!A17&amp;","," "),IF(AND('Matriz Riesgo'!H18=5,'Matriz Riesgo'!K18=3)," "&amp;'Matriz Riesgo'!A18&amp;","," "),IF(AND('Matriz Riesgo'!H19=5,'Matriz Riesgo'!K19=3)," "&amp;'Matriz Riesgo'!A19&amp;","," "),IF(AND('Matriz Riesgo'!H20=5,'Matriz Riesgo'!K20=3)," "&amp;'Matriz Riesgo'!A20&amp;","," "),IF(AND('Matriz Riesgo'!H21=5,'Matriz Riesgo'!K21=3)," "&amp;'Matriz Riesgo'!A21&amp;","," "),IF(AND('Matriz Riesgo'!H22=5,'Matriz Riesgo'!K22=3)," "&amp;'Matriz Riesgo'!A22&amp;","," "),IF(AND('Matriz Riesgo'!H23=5,'Matriz Riesgo'!K23=3)," "&amp;'Matriz Riesgo'!A23&amp;","," "),IF(AND('Matriz Riesgo'!H24=5,'Matriz Riesgo'!K24=3)," "&amp;'Matriz Riesgo'!A24&amp;","," "),IF(AND('Matriz Riesgo'!H25=5,'Matriz Riesgo'!K25=3)," "&amp;'Matriz Riesgo'!A25&amp;","," "),IF(AND('Matriz Riesgo'!H26=5,'Matriz Riesgo'!K26=3)," "&amp;'Matriz Riesgo'!A26," "))</f>
        <v xml:space="preserve">                     </v>
      </c>
      <c r="H4" s="58" t="str">
        <f>CONCATENATE(IF(AND('Matriz Riesgo'!H6=5,'Matriz Riesgo'!K6=4)," "&amp;'Matriz Riesgo'!A6&amp;","," "),IF(AND('Matriz Riesgo'!H7=5,'Matriz Riesgo'!K7=4)," "&amp;'Matriz Riesgo'!A7&amp;","," "),IF(AND('Matriz Riesgo'!H8=5,'Matriz Riesgo'!K8=4)," "&amp;'Matriz Riesgo'!A8&amp;","," "),IF(AND('Matriz Riesgo'!H9=5,'Matriz Riesgo'!K9=4)," "&amp;'Matriz Riesgo'!A9&amp;","," "),IF(AND('Matriz Riesgo'!H10=5,'Matriz Riesgo'!K10=4)," "&amp;'Matriz Riesgo'!A10&amp;","," "),IF(AND('Matriz Riesgo'!H11=5,'Matriz Riesgo'!K11=4)," "&amp;'Matriz Riesgo'!A11&amp;","," "),IF(AND('Matriz Riesgo'!H12=5,'Matriz Riesgo'!K12=4)," "&amp;'Matriz Riesgo'!A12&amp;","," "),IF(AND('Matriz Riesgo'!H13=5,'Matriz Riesgo'!K13=4)," "&amp;'Matriz Riesgo'!A13&amp;","," "),IF(AND('Matriz Riesgo'!H14=5,'Matriz Riesgo'!K14=4)," "&amp;'Matriz Riesgo'!A14&amp;","," "),IF(AND('Matriz Riesgo'!H15=5,'Matriz Riesgo'!K15=4)," "&amp;'Matriz Riesgo'!A15&amp;","," "),IF(AND('Matriz Riesgo'!H16=5,'Matriz Riesgo'!K16=4)," "&amp;'Matriz Riesgo'!A16&amp;","," "),IF(AND('Matriz Riesgo'!H17=5,'Matriz Riesgo'!K17=4)," "&amp;'Matriz Riesgo'!A17&amp;","," "),IF(AND('Matriz Riesgo'!H18=5,'Matriz Riesgo'!K18=4)," "&amp;'Matriz Riesgo'!A18&amp;","," "),IF(AND('Matriz Riesgo'!H19=5,'Matriz Riesgo'!K19=4)," "&amp;'Matriz Riesgo'!A19&amp;","," "),IF(AND('Matriz Riesgo'!H20=5,'Matriz Riesgo'!K20=4)," "&amp;'Matriz Riesgo'!A20&amp;","," "),IF(AND('Matriz Riesgo'!H21=5,'Matriz Riesgo'!K21=4)," "&amp;'Matriz Riesgo'!A21&amp;","," "),IF(AND('Matriz Riesgo'!H22=5,'Matriz Riesgo'!K22=4)," "&amp;'Matriz Riesgo'!A22&amp;","," "),IF(AND('Matriz Riesgo'!H23=5,'Matriz Riesgo'!K23=4)," "&amp;'Matriz Riesgo'!A23&amp;","," "),IF(AND('Matriz Riesgo'!H24=5,'Matriz Riesgo'!K24=4)," "&amp;'Matriz Riesgo'!A24&amp;","," "),IF(AND('Matriz Riesgo'!H25=5,'Matriz Riesgo'!K25=4)," "&amp;'Matriz Riesgo'!A25&amp;","," "),IF(AND('Matriz Riesgo'!H26=5,'Matriz Riesgo'!K26=4)," "&amp;'Matriz Riesgo'!A26," "))</f>
        <v xml:space="preserve">                     </v>
      </c>
      <c r="I4" s="64" t="str">
        <f>CONCATENATE(IF(AND('Matriz Riesgo'!H6=5,'Matriz Riesgo'!K6=5)," "&amp;'Matriz Riesgo'!A6&amp;","," "),IF(AND('Matriz Riesgo'!H7=5,'Matriz Riesgo'!K7=5)," "&amp;'Matriz Riesgo'!A7&amp;","," "),IF(AND('Matriz Riesgo'!H8=5,'Matriz Riesgo'!K8=5)," "&amp;'Matriz Riesgo'!A8&amp;","," "),IF(AND('Matriz Riesgo'!H9=5,'Matriz Riesgo'!K9=5)," "&amp;'Matriz Riesgo'!A9&amp;","," "),IF(AND('Matriz Riesgo'!H10=5,'Matriz Riesgo'!K10=5)," "&amp;'Matriz Riesgo'!A10&amp;","," "),IF(AND('Matriz Riesgo'!H11=5,'Matriz Riesgo'!K11=5)," "&amp;'Matriz Riesgo'!A11&amp;","," "),IF(AND('Matriz Riesgo'!H12=5,'Matriz Riesgo'!K12=5)," "&amp;'Matriz Riesgo'!A12&amp;","," "),IF(AND('Matriz Riesgo'!H13=5,'Matriz Riesgo'!K13=5)," "&amp;'Matriz Riesgo'!A13&amp;","," "),IF(AND('Matriz Riesgo'!H14=5,'Matriz Riesgo'!K14=5)," "&amp;'Matriz Riesgo'!A14&amp;","," "),IF(AND('Matriz Riesgo'!H15=5,'Matriz Riesgo'!K15=5)," "&amp;'Matriz Riesgo'!A15&amp;","," "),IF(AND('Matriz Riesgo'!H16=5,'Matriz Riesgo'!K16=5)," "&amp;'Matriz Riesgo'!A16&amp;","," "),IF(AND('Matriz Riesgo'!H17=5,'Matriz Riesgo'!K17=5)," "&amp;'Matriz Riesgo'!A17&amp;","," "),IF(AND('Matriz Riesgo'!H18=5,'Matriz Riesgo'!K18=5)," "&amp;'Matriz Riesgo'!A18&amp;","," "),IF(AND('Matriz Riesgo'!H19=5,'Matriz Riesgo'!K19=5)," "&amp;'Matriz Riesgo'!A19&amp;","," "),IF(AND('Matriz Riesgo'!H20=5,'Matriz Riesgo'!K20=5)," "&amp;'Matriz Riesgo'!A20&amp;","," "),IF(AND('Matriz Riesgo'!H21=5,'Matriz Riesgo'!K21=5)," "&amp;'Matriz Riesgo'!A21&amp;","," "),IF(AND('Matriz Riesgo'!H22=5,'Matriz Riesgo'!K22=5)," "&amp;'Matriz Riesgo'!A22&amp;","," "),IF(AND('Matriz Riesgo'!H23=5,'Matriz Riesgo'!K23=5)," "&amp;'Matriz Riesgo'!A23&amp;","," "),IF(AND('Matriz Riesgo'!H24=5,'Matriz Riesgo'!K24=5)," "&amp;'Matriz Riesgo'!A24&amp;","," "),IF(AND('Matriz Riesgo'!H25=5,'Matriz Riesgo'!K25=5)," "&amp;'Matriz Riesgo'!A25&amp;","," "),IF(AND('Matriz Riesgo'!H26=5,'Matriz Riesgo'!K26=5)," "&amp;'Matriz Riesgo'!A26," "))</f>
        <v xml:space="preserve">                     </v>
      </c>
      <c r="K4" t="s">
        <v>125</v>
      </c>
      <c r="L4" t="s">
        <v>126</v>
      </c>
      <c r="M4" t="s">
        <v>127</v>
      </c>
      <c r="S4">
        <f>IF(P4&gt;Q4,0,)</f>
        <v>0</v>
      </c>
    </row>
    <row r="5" spans="2:23" ht="21" customHeight="1" thickBot="1" x14ac:dyDescent="0.35">
      <c r="B5" s="45">
        <v>4</v>
      </c>
      <c r="C5" s="117"/>
      <c r="D5" s="18" t="s">
        <v>43</v>
      </c>
      <c r="E5" s="56" t="str">
        <f>CONCATENATE(IF(AND('Matriz Riesgo'!H5=4,'Matriz Riesgo'!K5=1)," "&amp;'Matriz Riesgo'!A5&amp;","," "),IF(AND('Matriz Riesgo'!H6=4,'Matriz Riesgo'!K6=1)," "&amp;'Matriz Riesgo'!A6&amp;","," "),IF(AND('Matriz Riesgo'!H7=4,'Matriz Riesgo'!K7=1)," "&amp;'Matriz Riesgo'!A7&amp;","," "),IF(AND('Matriz Riesgo'!H8=4,'Matriz Riesgo'!K8=1)," "&amp;'Matriz Riesgo'!A8&amp;","," "),IF(AND('Matriz Riesgo'!H9=4,'Matriz Riesgo'!K9=1)," "&amp;'Matriz Riesgo'!A9&amp;","," "),IF(AND('Matriz Riesgo'!H10=4,'Matriz Riesgo'!K10=1)," "&amp;'Matriz Riesgo'!A10&amp;","," "),IF(AND('Matriz Riesgo'!H11=4,'Matriz Riesgo'!K11=1)," "&amp;'Matriz Riesgo'!A11&amp;","," "),IF(AND('Matriz Riesgo'!H12=4,'Matriz Riesgo'!K12=1)," "&amp;'Matriz Riesgo'!A12&amp;","," "),IF(AND('Matriz Riesgo'!H13=4,'Matriz Riesgo'!K13=1)," "&amp;'Matriz Riesgo'!A13&amp;","," "),IF(AND('Matriz Riesgo'!H14=4,'Matriz Riesgo'!K14=1)," "&amp;'Matriz Riesgo'!A14&amp;","," "),IF(AND('Matriz Riesgo'!H15=4,'Matriz Riesgo'!K15=1)," "&amp;'Matriz Riesgo'!A15&amp;","," "),IF(AND('Matriz Riesgo'!H16=4,'Matriz Riesgo'!K16=1)," "&amp;'Matriz Riesgo'!A16&amp;","," "),IF(AND('Matriz Riesgo'!H17=4,'Matriz Riesgo'!K17=1)," "&amp;'Matriz Riesgo'!A17&amp;","," "),IF(AND('Matriz Riesgo'!H18=4,'Matriz Riesgo'!K18=1)," "&amp;'Matriz Riesgo'!A18&amp;","," "),IF(AND('Matriz Riesgo'!H19=4,'Matriz Riesgo'!K19=1)," "&amp;'Matriz Riesgo'!A19&amp;","," "),IF(AND('Matriz Riesgo'!H20=4,'Matriz Riesgo'!K20=1)," "&amp;'Matriz Riesgo'!A20&amp;","," "),IF(AND('Matriz Riesgo'!H21=4,'Matriz Riesgo'!K21=1)," "&amp;'Matriz Riesgo'!A21&amp;","," "),IF(AND('Matriz Riesgo'!H22=4,'Matriz Riesgo'!K22=1)," "&amp;'Matriz Riesgo'!A22&amp;","," "),IF(AND('Matriz Riesgo'!H23=4,'Matriz Riesgo'!K23=1)," "&amp;'Matriz Riesgo'!A23&amp;","," "),IF(AND('Matriz Riesgo'!H24=4,'Matriz Riesgo'!K24=1)," "&amp;'Matriz Riesgo'!A24&amp;","," "),IF(AND('Matriz Riesgo'!H25=4,'Matriz Riesgo'!K25=1)," "&amp;'Matriz Riesgo'!A25," "))</f>
        <v xml:space="preserve">                     </v>
      </c>
      <c r="F5" s="55" t="str">
        <f>CONCATENATE(IF(AND('Matriz Riesgo'!H6=4,'Matriz Riesgo'!K6=2)," "&amp;'Matriz Riesgo'!A6&amp;","," "),IF(AND('Matriz Riesgo'!H7=4,'Matriz Riesgo'!K7=2)," "&amp;'Matriz Riesgo'!A7&amp;","," "),IF(AND('Matriz Riesgo'!H8=4,'Matriz Riesgo'!K8=2)," "&amp;'Matriz Riesgo'!A8&amp;","," "),IF(AND('Matriz Riesgo'!H9=4,'Matriz Riesgo'!K9=2)," "&amp;'Matriz Riesgo'!A9&amp;","," "),IF(AND('Matriz Riesgo'!H10=4,'Matriz Riesgo'!K10=2)," "&amp;'Matriz Riesgo'!A10&amp;","," "),IF(AND('Matriz Riesgo'!H11=4,'Matriz Riesgo'!K11=2)," "&amp;'Matriz Riesgo'!A11&amp;","," "),IF(AND('Matriz Riesgo'!H12=4,'Matriz Riesgo'!K12=2)," "&amp;'Matriz Riesgo'!A12&amp;","," "),IF(AND('Matriz Riesgo'!H13=4,'Matriz Riesgo'!K13=2)," "&amp;'Matriz Riesgo'!A13&amp;","," "),IF(AND('Matriz Riesgo'!H14=4,'Matriz Riesgo'!K14=2)," "&amp;'Matriz Riesgo'!A14&amp;","," "),IF(AND('Matriz Riesgo'!H15=4,'Matriz Riesgo'!K15=2)," "&amp;'Matriz Riesgo'!A15&amp;","," "),IF(AND('Matriz Riesgo'!H16=4,'Matriz Riesgo'!K16=2)," "&amp;'Matriz Riesgo'!A16&amp;","," "),IF(AND('Matriz Riesgo'!H17=4,'Matriz Riesgo'!K17=2)," "&amp;'Matriz Riesgo'!A17&amp;","," "),IF(AND('Matriz Riesgo'!H18=4,'Matriz Riesgo'!K18=2)," "&amp;'Matriz Riesgo'!A18&amp;","," "),IF(AND('Matriz Riesgo'!H19=4,'Matriz Riesgo'!K19=2)," "&amp;'Matriz Riesgo'!A19&amp;","," "),IF(AND('Matriz Riesgo'!H20=4,'Matriz Riesgo'!K20=2)," "&amp;'Matriz Riesgo'!A20&amp;","," "),IF(AND('Matriz Riesgo'!H21=4,'Matriz Riesgo'!K21=2)," "&amp;'Matriz Riesgo'!A21&amp;","," "),IF(AND('Matriz Riesgo'!H22=4,'Matriz Riesgo'!K22=2)," "&amp;'Matriz Riesgo'!A22&amp;","," "),IF(AND('Matriz Riesgo'!H23=4,'Matriz Riesgo'!K23=2)," "&amp;'Matriz Riesgo'!A23&amp;","," "),IF(AND('Matriz Riesgo'!H24=4,'Matriz Riesgo'!K24=2)," "&amp;'Matriz Riesgo'!A24&amp;","," "),IF(AND('Matriz Riesgo'!H25=4,'Matriz Riesgo'!K25=2)," "&amp;'Matriz Riesgo'!A25&amp;","," "),IF(AND('Matriz Riesgo'!H26=4,'Matriz Riesgo'!K26=2)," "&amp;'Matriz Riesgo'!A26," "))</f>
        <v xml:space="preserve">                     </v>
      </c>
      <c r="G5" s="54" t="str">
        <f>CONCATENATE(IF(AND('Matriz Riesgo'!H6=4,'Matriz Riesgo'!K6=3)," "&amp;'Matriz Riesgo'!A6&amp;","," "),IF(AND('Matriz Riesgo'!H7=4,'Matriz Riesgo'!K7=3)," "&amp;'Matriz Riesgo'!A7&amp;","," "),IF(AND('Matriz Riesgo'!H8=4,'Matriz Riesgo'!K8=3)," "&amp;'Matriz Riesgo'!A8&amp;","," "),IF(AND('Matriz Riesgo'!H9=4,'Matriz Riesgo'!K9=3)," "&amp;'Matriz Riesgo'!A9&amp;","," "),IF(AND('Matriz Riesgo'!H10=4,'Matriz Riesgo'!K10=3)," "&amp;'Matriz Riesgo'!A10&amp;","," "),IF(AND('Matriz Riesgo'!H11=4,'Matriz Riesgo'!K11=3)," "&amp;'Matriz Riesgo'!A11&amp;","," "),IF(AND('Matriz Riesgo'!H12=4,'Matriz Riesgo'!K12=3)," "&amp;'Matriz Riesgo'!A12&amp;","," "),IF(AND('Matriz Riesgo'!H13=4,'Matriz Riesgo'!K13=3)," "&amp;'Matriz Riesgo'!A13&amp;","," "),IF(AND('Matriz Riesgo'!H14=4,'Matriz Riesgo'!K14=3)," "&amp;'Matriz Riesgo'!A14&amp;","," "),IF(AND('Matriz Riesgo'!H15=4,'Matriz Riesgo'!K15=3)," "&amp;'Matriz Riesgo'!A15&amp;","," "),IF(AND('Matriz Riesgo'!H16=4,'Matriz Riesgo'!K16=3)," "&amp;'Matriz Riesgo'!A16&amp;","," "),IF(AND('Matriz Riesgo'!H17=4,'Matriz Riesgo'!K17=3)," "&amp;'Matriz Riesgo'!A17&amp;","," "),IF(AND('Matriz Riesgo'!H18=4,'Matriz Riesgo'!K18=3)," "&amp;'Matriz Riesgo'!A18&amp;","," "),IF(AND('Matriz Riesgo'!H19=4,'Matriz Riesgo'!K19=3)," "&amp;'Matriz Riesgo'!A19&amp;","," "),IF(AND('Matriz Riesgo'!H20=4,'Matriz Riesgo'!K20=3)," "&amp;'Matriz Riesgo'!A20&amp;","," "),IF(AND('Matriz Riesgo'!H21=4,'Matriz Riesgo'!K21=3)," "&amp;'Matriz Riesgo'!A21&amp;","," "),IF(AND('Matriz Riesgo'!H22=4,'Matriz Riesgo'!K22=3)," "&amp;'Matriz Riesgo'!A22&amp;","," "),IF(AND('Matriz Riesgo'!H23=4,'Matriz Riesgo'!K23=3)," "&amp;'Matriz Riesgo'!A23&amp;","," "),IF(AND('Matriz Riesgo'!H24=4,'Matriz Riesgo'!K24=3)," "&amp;'Matriz Riesgo'!A24&amp;","," "),IF(AND('Matriz Riesgo'!H25=4,'Matriz Riesgo'!K25=3)," "&amp;'Matriz Riesgo'!A25&amp;","," "),IF(AND('Matriz Riesgo'!H26=4,'Matriz Riesgo'!K26=3)," "&amp;'Matriz Riesgo'!A26," "))</f>
        <v xml:space="preserve">     5,          15,      </v>
      </c>
      <c r="H5" s="58" t="str">
        <f>CONCATENATE(IF(AND('Matriz Riesgo'!H6=4,'Matriz Riesgo'!K6=4)," "&amp;'Matriz Riesgo'!A6&amp;","," "),IF(AND('Matriz Riesgo'!H7=4,'Matriz Riesgo'!K7=4)," "&amp;'Matriz Riesgo'!A7&amp;","," "),IF(AND('Matriz Riesgo'!H8=4,'Matriz Riesgo'!K8=4)," "&amp;'Matriz Riesgo'!A8&amp;","," "),IF(AND('Matriz Riesgo'!H9=4,'Matriz Riesgo'!K9=4)," "&amp;'Matriz Riesgo'!A9&amp;","," "),IF(AND('Matriz Riesgo'!H10=4,'Matriz Riesgo'!K10=4)," "&amp;'Matriz Riesgo'!A10&amp;","," "),IF(AND('Matriz Riesgo'!H11=4,'Matriz Riesgo'!K11=4)," "&amp;'Matriz Riesgo'!A11&amp;","," "),IF(AND('Matriz Riesgo'!H12=4,'Matriz Riesgo'!K12=4)," "&amp;'Matriz Riesgo'!A12&amp;","," "),IF(AND('Matriz Riesgo'!H13=4,'Matriz Riesgo'!K13=4)," "&amp;'Matriz Riesgo'!A13&amp;","," "),IF(AND('Matriz Riesgo'!H14=4,'Matriz Riesgo'!K14=4)," "&amp;'Matriz Riesgo'!A14&amp;","," "),IF(AND('Matriz Riesgo'!H15=4,'Matriz Riesgo'!K15=4)," "&amp;'Matriz Riesgo'!A15&amp;","," "),IF(AND('Matriz Riesgo'!H16=4,'Matriz Riesgo'!K16=4)," "&amp;'Matriz Riesgo'!A16&amp;","," "),IF(AND('Matriz Riesgo'!H17=4,'Matriz Riesgo'!K17=4)," "&amp;'Matriz Riesgo'!A17&amp;","," "),IF(AND('Matriz Riesgo'!H18=4,'Matriz Riesgo'!K18=4)," "&amp;'Matriz Riesgo'!A18&amp;","," "),IF(AND('Matriz Riesgo'!H19=4,'Matriz Riesgo'!K19=4)," "&amp;'Matriz Riesgo'!A19&amp;","," "),IF(AND('Matriz Riesgo'!H20=4,'Matriz Riesgo'!K20=4)," "&amp;'Matriz Riesgo'!A20&amp;","," "),IF(AND('Matriz Riesgo'!H21=4,'Matriz Riesgo'!K21=4)," "&amp;'Matriz Riesgo'!A21&amp;","," "),IF(AND('Matriz Riesgo'!H22=4,'Matriz Riesgo'!K22=4)," "&amp;'Matriz Riesgo'!A22&amp;","," "),IF(AND('Matriz Riesgo'!H23=4,'Matriz Riesgo'!K23=4)," "&amp;'Matriz Riesgo'!A23&amp;","," "),IF(AND('Matriz Riesgo'!H24=4,'Matriz Riesgo'!K24=4)," "&amp;'Matriz Riesgo'!A24&amp;","," "),IF(AND('Matriz Riesgo'!H25=4,'Matriz Riesgo'!K25=4)," "&amp;'Matriz Riesgo'!A25&amp;","," "),IF(AND('Matriz Riesgo'!H26=4,'Matriz Riesgo'!K26=4)," "&amp;'Matriz Riesgo'!A26," "))</f>
        <v xml:space="preserve">                     </v>
      </c>
      <c r="I5" s="58" t="str">
        <f>CONCATENATE(IF(AND('Matriz Riesgo'!H6=4,'Matriz Riesgo'!K6=5)," "&amp;'Matriz Riesgo'!A6&amp;","," "),IF(AND('Matriz Riesgo'!H7=4,'Matriz Riesgo'!K7=5)," "&amp;'Matriz Riesgo'!A7&amp;","," "),IF(AND('Matriz Riesgo'!H8=4,'Matriz Riesgo'!K8=5)," "&amp;'Matriz Riesgo'!A8&amp;","," "),IF(AND('Matriz Riesgo'!H9=4,'Matriz Riesgo'!K9=5)," "&amp;'Matriz Riesgo'!A9&amp;","," "),IF(AND('Matriz Riesgo'!H10=4,'Matriz Riesgo'!K10=5)," "&amp;'Matriz Riesgo'!A10&amp;","," "),IF(AND('Matriz Riesgo'!H11=4,'Matriz Riesgo'!K11=5)," "&amp;'Matriz Riesgo'!A11&amp;","," "),IF(AND('Matriz Riesgo'!H12=4,'Matriz Riesgo'!K12=5)," "&amp;'Matriz Riesgo'!A12&amp;","," "),IF(AND('Matriz Riesgo'!H13=4,'Matriz Riesgo'!K13=5)," "&amp;'Matriz Riesgo'!A13&amp;","," "),IF(AND('Matriz Riesgo'!H14=4,'Matriz Riesgo'!K14=5)," "&amp;'Matriz Riesgo'!A14&amp;","," "),IF(AND('Matriz Riesgo'!H15=4,'Matriz Riesgo'!K15=5)," "&amp;'Matriz Riesgo'!A15&amp;","," "),IF(AND('Matriz Riesgo'!H16=4,'Matriz Riesgo'!K16=5)," "&amp;'Matriz Riesgo'!A16&amp;","," "),IF(AND('Matriz Riesgo'!H17=4,'Matriz Riesgo'!K17=5)," "&amp;'Matriz Riesgo'!A17&amp;","," "),IF(AND('Matriz Riesgo'!H18=4,'Matriz Riesgo'!K18=5)," "&amp;'Matriz Riesgo'!A18&amp;","," "),IF(AND('Matriz Riesgo'!H19=4,'Matriz Riesgo'!K19=5)," "&amp;'Matriz Riesgo'!A19&amp;","," "),IF(AND('Matriz Riesgo'!H20=4,'Matriz Riesgo'!K20=5)," "&amp;'Matriz Riesgo'!A20&amp;","," "),IF(AND('Matriz Riesgo'!H21=4,'Matriz Riesgo'!K21=5)," "&amp;'Matriz Riesgo'!A21&amp;","," "),IF(AND('Matriz Riesgo'!H22=4,'Matriz Riesgo'!K22=5)," "&amp;'Matriz Riesgo'!A22&amp;","," "),IF(AND('Matriz Riesgo'!H23=4,'Matriz Riesgo'!K23=5)," "&amp;'Matriz Riesgo'!A23&amp;","," "),IF(AND('Matriz Riesgo'!H24=4,'Matriz Riesgo'!K24=5)," "&amp;'Matriz Riesgo'!A24&amp;","," "),IF(AND('Matriz Riesgo'!H25=4,'Matriz Riesgo'!K25=5)," "&amp;'Matriz Riesgo'!A25&amp;","," "),IF(AND('Matriz Riesgo'!H26=4,'Matriz Riesgo'!K26=5)," "&amp;'Matriz Riesgo'!A26," "))</f>
        <v xml:space="preserve">                     </v>
      </c>
      <c r="K5" t="s">
        <v>128</v>
      </c>
      <c r="L5" t="s">
        <v>129</v>
      </c>
    </row>
    <row r="6" spans="2:23" ht="21" customHeight="1" thickBot="1" x14ac:dyDescent="0.35">
      <c r="B6" s="45">
        <v>3</v>
      </c>
      <c r="C6" s="117"/>
      <c r="D6" s="18" t="s">
        <v>44</v>
      </c>
      <c r="E6" s="56" t="str">
        <f>CONCATENATE(IF(AND('Matriz Riesgo'!H5=3,'Matriz Riesgo'!K5=1)," "&amp;'Matriz Riesgo'!A5&amp;","," "),IF(AND('Matriz Riesgo'!H6=3,'Matriz Riesgo'!K6=1)," "&amp;'Matriz Riesgo'!A6&amp;","," "),IF(AND('Matriz Riesgo'!H7=3,'Matriz Riesgo'!K7=1)," "&amp;'Matriz Riesgo'!A7&amp;","," "),IF(AND('Matriz Riesgo'!H8=3,'Matriz Riesgo'!K8=1)," "&amp;'Matriz Riesgo'!A8&amp;","," "),IF(AND('Matriz Riesgo'!H9=3,'Matriz Riesgo'!K9=1)," "&amp;'Matriz Riesgo'!A9&amp;","," "),IF(AND('Matriz Riesgo'!H10=3,'Matriz Riesgo'!K10=1)," "&amp;'Matriz Riesgo'!A10&amp;","," "),IF(AND('Matriz Riesgo'!H11=3,'Matriz Riesgo'!K11=1)," "&amp;'Matriz Riesgo'!A11&amp;","," "),IF(AND('Matriz Riesgo'!H12=3,'Matriz Riesgo'!K12=1)," "&amp;'Matriz Riesgo'!A12&amp;","," "),IF(AND('Matriz Riesgo'!H13=3,'Matriz Riesgo'!K13=1)," "&amp;'Matriz Riesgo'!A13&amp;","," "),IF(AND('Matriz Riesgo'!H14=3,'Matriz Riesgo'!K14=1)," "&amp;'Matriz Riesgo'!A14&amp;","," "),IF(AND('Matriz Riesgo'!H15=3,'Matriz Riesgo'!K15=1)," "&amp;'Matriz Riesgo'!A15&amp;","," "),IF(AND('Matriz Riesgo'!H16=3,'Matriz Riesgo'!K16=1)," "&amp;'Matriz Riesgo'!A16&amp;","," "),IF(AND('Matriz Riesgo'!H17=3,'Matriz Riesgo'!K17=1)," "&amp;'Matriz Riesgo'!A17&amp;","," "),IF(AND('Matriz Riesgo'!H18=3,'Matriz Riesgo'!K18=1)," "&amp;'Matriz Riesgo'!A18&amp;","," "),IF(AND('Matriz Riesgo'!H19=3,'Matriz Riesgo'!K19=1)," "&amp;'Matriz Riesgo'!A19&amp;","," "),IF(AND('Matriz Riesgo'!H20=3,'Matriz Riesgo'!K20=1)," "&amp;'Matriz Riesgo'!A20&amp;","," "),IF(AND('Matriz Riesgo'!H21=3,'Matriz Riesgo'!K21=1)," "&amp;'Matriz Riesgo'!A21&amp;","," "),IF(AND('Matriz Riesgo'!H22=3,'Matriz Riesgo'!K22=1)," "&amp;'Matriz Riesgo'!A22&amp;","," "),IF(AND('Matriz Riesgo'!H23=3,'Matriz Riesgo'!K23=1)," "&amp;'Matriz Riesgo'!A23&amp;","," "),IF(AND('Matriz Riesgo'!H24=3,'Matriz Riesgo'!K24=1)," "&amp;'Matriz Riesgo'!A24&amp;","," "),IF(AND('Matriz Riesgo'!H25=3,'Matriz Riesgo'!K25=1)," "&amp;'Matriz Riesgo'!A25," "))</f>
        <v xml:space="preserve">                     </v>
      </c>
      <c r="F6" s="55" t="str">
        <f>CONCATENATE(IF(AND('Matriz Riesgo'!H6=3,'Matriz Riesgo'!K6=2)," "&amp;'Matriz Riesgo'!A6&amp;","," "),IF(AND('Matriz Riesgo'!H7=3,'Matriz Riesgo'!K7=2)," "&amp;'Matriz Riesgo'!A7&amp;","," "),IF(AND('Matriz Riesgo'!H8=3,'Matriz Riesgo'!K8=2)," "&amp;'Matriz Riesgo'!A8&amp;","," "),IF(AND('Matriz Riesgo'!H9=3,'Matriz Riesgo'!K9=2)," "&amp;'Matriz Riesgo'!A9&amp;","," "),IF(AND('Matriz Riesgo'!H10=3,'Matriz Riesgo'!K10=2)," "&amp;'Matriz Riesgo'!A10&amp;","," "),IF(AND('Matriz Riesgo'!H11=3,'Matriz Riesgo'!K11=2)," "&amp;'Matriz Riesgo'!A11&amp;","," "),IF(AND('Matriz Riesgo'!H12=3,'Matriz Riesgo'!K12=2)," "&amp;'Matriz Riesgo'!A12&amp;","," "),IF(AND('Matriz Riesgo'!H13=3,'Matriz Riesgo'!K13=2)," "&amp;'Matriz Riesgo'!A13&amp;","," "),IF(AND('Matriz Riesgo'!H14=3,'Matriz Riesgo'!K14=2)," "&amp;'Matriz Riesgo'!A14&amp;","," "),IF(AND('Matriz Riesgo'!H15=3,'Matriz Riesgo'!K15=2)," "&amp;'Matriz Riesgo'!A15&amp;","," "),IF(AND('Matriz Riesgo'!H16=3,'Matriz Riesgo'!K16=2)," "&amp;'Matriz Riesgo'!A16&amp;","," "),IF(AND('Matriz Riesgo'!H17=3,'Matriz Riesgo'!K17=2)," "&amp;'Matriz Riesgo'!A17&amp;","," "),IF(AND('Matriz Riesgo'!H18=3,'Matriz Riesgo'!K18=2)," "&amp;'Matriz Riesgo'!A18&amp;","," "),IF(AND('Matriz Riesgo'!H19=3,'Matriz Riesgo'!K19=2)," "&amp;'Matriz Riesgo'!A19&amp;","," "),IF(AND('Matriz Riesgo'!H20=3,'Matriz Riesgo'!K20=2)," "&amp;'Matriz Riesgo'!A20&amp;","," "),IF(AND('Matriz Riesgo'!H21=3,'Matriz Riesgo'!K21=2)," "&amp;'Matriz Riesgo'!A21&amp;","," "),IF(AND('Matriz Riesgo'!H22=3,'Matriz Riesgo'!K22=2)," "&amp;'Matriz Riesgo'!A22&amp;","," "),IF(AND('Matriz Riesgo'!H23=3,'Matriz Riesgo'!K23=2)," "&amp;'Matriz Riesgo'!A23&amp;","," "),IF(AND('Matriz Riesgo'!H24=3,'Matriz Riesgo'!K24=2)," "&amp;'Matriz Riesgo'!A24&amp;","," "),IF(AND('Matriz Riesgo'!H25=3,'Matriz Riesgo'!K25=2)," "&amp;'Matriz Riesgo'!A25&amp;","," "),IF(AND('Matriz Riesgo'!H26=3,'Matriz Riesgo'!K26=2)," "&amp;'Matriz Riesgo'!A26," "))</f>
        <v xml:space="preserve"> 1, 2,  4,  6, 7,   10, 11,          </v>
      </c>
      <c r="G6" s="57" t="str">
        <f>CONCATENATE(IF(AND('Matriz Riesgo'!H6=3,'Matriz Riesgo'!K6=3)," "&amp;'Matriz Riesgo'!A6&amp;","," "),IF(AND('Matriz Riesgo'!H7=3,'Matriz Riesgo'!K7=3)," "&amp;'Matriz Riesgo'!A7&amp;","," "),IF(AND('Matriz Riesgo'!H8=3,'Matriz Riesgo'!K8=3)," "&amp;'Matriz Riesgo'!A8&amp;","," "),IF(AND('Matriz Riesgo'!H9=3,'Matriz Riesgo'!K9=3)," "&amp;'Matriz Riesgo'!A9&amp;","," "),IF(AND('Matriz Riesgo'!H10=3,'Matriz Riesgo'!K10=3)," "&amp;'Matriz Riesgo'!A10&amp;","," "),IF(AND('Matriz Riesgo'!H11=3,'Matriz Riesgo'!K11=3)," "&amp;'Matriz Riesgo'!A11&amp;","," "),IF(AND('Matriz Riesgo'!H12=3,'Matriz Riesgo'!K12=3)," "&amp;'Matriz Riesgo'!A12&amp;","," "),IF(AND('Matriz Riesgo'!H13=3,'Matriz Riesgo'!K13=3)," "&amp;'Matriz Riesgo'!A13&amp;","," "),IF(AND('Matriz Riesgo'!H14=3,'Matriz Riesgo'!K14=3)," "&amp;'Matriz Riesgo'!A14&amp;","," "),IF(AND('Matriz Riesgo'!H15=3,'Matriz Riesgo'!K15=3)," "&amp;'Matriz Riesgo'!A15&amp;","," "),IF(AND('Matriz Riesgo'!H16=3,'Matriz Riesgo'!K16=3)," "&amp;'Matriz Riesgo'!A16&amp;","," "),IF(AND('Matriz Riesgo'!H17=3,'Matriz Riesgo'!K17=3)," "&amp;'Matriz Riesgo'!A17&amp;","," "),IF(AND('Matriz Riesgo'!H18=3,'Matriz Riesgo'!K18=3)," "&amp;'Matriz Riesgo'!A18&amp;","," "),IF(AND('Matriz Riesgo'!H19=3,'Matriz Riesgo'!K19=3)," "&amp;'Matriz Riesgo'!A19&amp;","," "),IF(AND('Matriz Riesgo'!H20=3,'Matriz Riesgo'!K20=3)," "&amp;'Matriz Riesgo'!A20&amp;","," "),IF(AND('Matriz Riesgo'!H21=3,'Matriz Riesgo'!K21=3)," "&amp;'Matriz Riesgo'!A21&amp;","," "),IF(AND('Matriz Riesgo'!H22=3,'Matriz Riesgo'!K22=3)," "&amp;'Matriz Riesgo'!A22&amp;","," "),IF(AND('Matriz Riesgo'!H23=3,'Matriz Riesgo'!K23=3)," "&amp;'Matriz Riesgo'!A23&amp;","," "),IF(AND('Matriz Riesgo'!H24=3,'Matriz Riesgo'!K24=3)," "&amp;'Matriz Riesgo'!A24&amp;","," "),IF(AND('Matriz Riesgo'!H25=3,'Matriz Riesgo'!K25=3)," "&amp;'Matriz Riesgo'!A25&amp;","," "),IF(AND('Matriz Riesgo'!H26=3,'Matriz Riesgo'!K26=3)," "&amp;'Matriz Riesgo'!A26," "))</f>
        <v xml:space="preserve">   3,     8,         17,    </v>
      </c>
      <c r="H6" s="54" t="str">
        <f>CONCATENATE(IF(AND('Matriz Riesgo'!H6=3,'Matriz Riesgo'!K6=4)," "&amp;'Matriz Riesgo'!A6&amp;","," "),IF(AND('Matriz Riesgo'!H7=3,'Matriz Riesgo'!K7=4)," "&amp;'Matriz Riesgo'!A7&amp;","," "),IF(AND('Matriz Riesgo'!H8=3,'Matriz Riesgo'!K8=4)," "&amp;'Matriz Riesgo'!A8&amp;","," "),IF(AND('Matriz Riesgo'!H9=3,'Matriz Riesgo'!K9=4)," "&amp;'Matriz Riesgo'!A9&amp;","," "),IF(AND('Matriz Riesgo'!H10=3,'Matriz Riesgo'!K10=4)," "&amp;'Matriz Riesgo'!A10&amp;","," "),IF(AND('Matriz Riesgo'!H11=3,'Matriz Riesgo'!K11=4)," "&amp;'Matriz Riesgo'!A11&amp;","," "),IF(AND('Matriz Riesgo'!H12=3,'Matriz Riesgo'!K12=4)," "&amp;'Matriz Riesgo'!A12&amp;","," "),IF(AND('Matriz Riesgo'!H13=3,'Matriz Riesgo'!K13=4)," "&amp;'Matriz Riesgo'!A13&amp;","," "),IF(AND('Matriz Riesgo'!H14=3,'Matriz Riesgo'!K14=4)," "&amp;'Matriz Riesgo'!A14&amp;","," "),IF(AND('Matriz Riesgo'!H15=3,'Matriz Riesgo'!K15=4)," "&amp;'Matriz Riesgo'!A15&amp;","," "),IF(AND('Matriz Riesgo'!H16=3,'Matriz Riesgo'!K16=4)," "&amp;'Matriz Riesgo'!A16&amp;","," "),IF(AND('Matriz Riesgo'!H17=3,'Matriz Riesgo'!K17=4)," "&amp;'Matriz Riesgo'!A17&amp;","," "),IF(AND('Matriz Riesgo'!H18=3,'Matriz Riesgo'!K18=4)," "&amp;'Matriz Riesgo'!A18&amp;","," "),IF(AND('Matriz Riesgo'!H19=3,'Matriz Riesgo'!K19=4)," "&amp;'Matriz Riesgo'!A19&amp;","," "),IF(AND('Matriz Riesgo'!H20=3,'Matriz Riesgo'!K20=4)," "&amp;'Matriz Riesgo'!A20&amp;","," "),IF(AND('Matriz Riesgo'!H21=3,'Matriz Riesgo'!K21=4)," "&amp;'Matriz Riesgo'!A21&amp;","," "),IF(AND('Matriz Riesgo'!H22=3,'Matriz Riesgo'!K22=4)," "&amp;'Matriz Riesgo'!A22&amp;","," "),IF(AND('Matriz Riesgo'!H23=3,'Matriz Riesgo'!K23=4)," "&amp;'Matriz Riesgo'!A23&amp;","," "),IF(AND('Matriz Riesgo'!H24=3,'Matriz Riesgo'!K24=4)," "&amp;'Matriz Riesgo'!A24&amp;","," "),IF(AND('Matriz Riesgo'!H25=3,'Matriz Riesgo'!K25=4)," "&amp;'Matriz Riesgo'!A25&amp;","," "),IF(AND('Matriz Riesgo'!H26=3,'Matriz Riesgo'!K26=4)," "&amp;'Matriz Riesgo'!A26," "))</f>
        <v xml:space="preserve">                  18,   </v>
      </c>
      <c r="I6" s="68" t="str">
        <f>CONCATENATE(IF(AND('Matriz Riesgo'!H6=3,'Matriz Riesgo'!K6=5)," "&amp;'Matriz Riesgo'!A6&amp;","," "),IF(AND('Matriz Riesgo'!H7=3,'Matriz Riesgo'!K7=5)," "&amp;'Matriz Riesgo'!A7&amp;","," "),IF(AND('Matriz Riesgo'!H8=3,'Matriz Riesgo'!K8=5)," "&amp;'Matriz Riesgo'!A8&amp;","," "),IF(AND('Matriz Riesgo'!H9=3,'Matriz Riesgo'!K9=5)," "&amp;'Matriz Riesgo'!A9&amp;","," "),IF(AND('Matriz Riesgo'!H10=3,'Matriz Riesgo'!K10=5)," "&amp;'Matriz Riesgo'!A10&amp;","," "),IF(AND('Matriz Riesgo'!H11=3,'Matriz Riesgo'!K11=5)," "&amp;'Matriz Riesgo'!A11&amp;","," "),IF(AND('Matriz Riesgo'!H12=3,'Matriz Riesgo'!K12=5)," "&amp;'Matriz Riesgo'!A12&amp;","," "),IF(AND('Matriz Riesgo'!H13=3,'Matriz Riesgo'!K13=5)," "&amp;'Matriz Riesgo'!A13&amp;","," "),IF(AND('Matriz Riesgo'!H14=3,'Matriz Riesgo'!K14=5)," "&amp;'Matriz Riesgo'!A14&amp;","," "),IF(AND('Matriz Riesgo'!H15=3,'Matriz Riesgo'!K15=5)," "&amp;'Matriz Riesgo'!A15&amp;","," "),IF(AND('Matriz Riesgo'!H16=3,'Matriz Riesgo'!K16=5)," "&amp;'Matriz Riesgo'!A16&amp;","," "),IF(AND('Matriz Riesgo'!H17=3,'Matriz Riesgo'!K17=5)," "&amp;'Matriz Riesgo'!A17&amp;","," "),IF(AND('Matriz Riesgo'!H18=3,'Matriz Riesgo'!K18=5)," "&amp;'Matriz Riesgo'!A18&amp;","," "),IF(AND('Matriz Riesgo'!H19=3,'Matriz Riesgo'!K19=5)," "&amp;'Matriz Riesgo'!A19&amp;","," "),IF(AND('Matriz Riesgo'!H20=3,'Matriz Riesgo'!K20=5)," "&amp;'Matriz Riesgo'!A20&amp;","," "),IF(AND('Matriz Riesgo'!H21=3,'Matriz Riesgo'!K21=5)," "&amp;'Matriz Riesgo'!A21&amp;","," "),IF(AND('Matriz Riesgo'!H22=3,'Matriz Riesgo'!K22=5)," "&amp;'Matriz Riesgo'!A22&amp;","," "),IF(AND('Matriz Riesgo'!H23=3,'Matriz Riesgo'!K23=5)," "&amp;'Matriz Riesgo'!A23&amp;","," "),IF(AND('Matriz Riesgo'!H24=3,'Matriz Riesgo'!K24=5)," "&amp;'Matriz Riesgo'!A24&amp;","," "),IF(AND('Matriz Riesgo'!H25=3,'Matriz Riesgo'!K25=5)," "&amp;'Matriz Riesgo'!A25&amp;","," "),IF(AND('Matriz Riesgo'!H26=3,'Matriz Riesgo'!K26=5)," "&amp;'Matriz Riesgo'!A26," "))</f>
        <v xml:space="preserve">                    20, </v>
      </c>
      <c r="K6" t="s">
        <v>131</v>
      </c>
    </row>
    <row r="7" spans="2:23" ht="21" customHeight="1" thickBot="1" x14ac:dyDescent="0.35">
      <c r="B7" s="45">
        <v>2</v>
      </c>
      <c r="C7" s="117"/>
      <c r="D7" s="18" t="s">
        <v>45</v>
      </c>
      <c r="E7" s="59" t="str">
        <f>CONCATENATE(IF(AND('Matriz Riesgo'!H6=2,'Matriz Riesgo'!K6=1)," "&amp;'Matriz Riesgo'!A6&amp;","," "),IF(AND('Matriz Riesgo'!H7=2,'Matriz Riesgo'!K7=1)," "&amp;'Matriz Riesgo'!A7&amp;","," "),IF(AND('Matriz Riesgo'!H8=2,'Matriz Riesgo'!K8=1)," "&amp;'Matriz Riesgo'!A8&amp;","," "),IF(AND('Matriz Riesgo'!H9=2,'Matriz Riesgo'!K9=1)," "&amp;'Matriz Riesgo'!A9&amp;","," "),IF(AND('Matriz Riesgo'!H10=2,'Matriz Riesgo'!K10=1)," "&amp;'Matriz Riesgo'!A10&amp;","," "),IF(AND('Matriz Riesgo'!H11=2,'Matriz Riesgo'!K11=1)," "&amp;'Matriz Riesgo'!A11&amp;","," "),IF(AND('Matriz Riesgo'!H12=2,'Matriz Riesgo'!K12=1)," "&amp;'Matriz Riesgo'!A12&amp;","," "),IF(AND('Matriz Riesgo'!H13=2,'Matriz Riesgo'!K13=1)," "&amp;'Matriz Riesgo'!A13&amp;","," "),IF(AND('Matriz Riesgo'!H14=2,'Matriz Riesgo'!K14=1)," "&amp;'Matriz Riesgo'!A14&amp;","," "),IF(AND('Matriz Riesgo'!H15=2,'Matriz Riesgo'!K15=1)," "&amp;'Matriz Riesgo'!A15&amp;","," "),IF(AND('Matriz Riesgo'!H16=2,'Matriz Riesgo'!K16=1)," "&amp;'Matriz Riesgo'!A16&amp;","," "),IF(AND('Matriz Riesgo'!H17=2,'Matriz Riesgo'!K17=1)," "&amp;'Matriz Riesgo'!A17&amp;","," "),IF(AND('Matriz Riesgo'!H18=2,'Matriz Riesgo'!K18=1)," "&amp;'Matriz Riesgo'!A18&amp;","," "),IF(AND('Matriz Riesgo'!H19=2,'Matriz Riesgo'!K19=1)," "&amp;'Matriz Riesgo'!A19&amp;","," "),IF(AND('Matriz Riesgo'!H20=2,'Matriz Riesgo'!K20=1)," "&amp;'Matriz Riesgo'!A20&amp;","," "),IF(AND('Matriz Riesgo'!H21=2,'Matriz Riesgo'!K21=1)," "&amp;'Matriz Riesgo'!A21&amp;","," "),IF(AND('Matriz Riesgo'!H22=2,'Matriz Riesgo'!K22=1)," "&amp;'Matriz Riesgo'!A22&amp;","," "),IF(AND('Matriz Riesgo'!H23=2,'Matriz Riesgo'!K23=1)," "&amp;'Matriz Riesgo'!A23&amp;","," "),IF(AND('Matriz Riesgo'!H24=2,'Matriz Riesgo'!K24=1)," "&amp;'Matriz Riesgo'!A24&amp;","," "),IF(AND('Matriz Riesgo'!H25=2,'Matriz Riesgo'!K25=1)," "&amp;'Matriz Riesgo'!A25&amp;","," "),IF(AND('Matriz Riesgo'!H26=2,'Matriz Riesgo'!K26=1)," "&amp;'Matriz Riesgo'!A26," "))</f>
        <v xml:space="preserve">                     </v>
      </c>
      <c r="F7" s="56" t="str">
        <f>CONCATENATE(IF(AND('Matriz Riesgo'!H6=2,'Matriz Riesgo'!K6=2)," "&amp;'Matriz Riesgo'!A6&amp;","," "),IF(AND('Matriz Riesgo'!H7=2,'Matriz Riesgo'!K7=2)," "&amp;'Matriz Riesgo'!A7&amp;","," "),IF(AND('Matriz Riesgo'!H8=2,'Matriz Riesgo'!K8=2)," "&amp;'Matriz Riesgo'!A8&amp;","," "),IF(AND('Matriz Riesgo'!H9=2,'Matriz Riesgo'!K9=2)," "&amp;'Matriz Riesgo'!A9&amp;","," "),IF(AND('Matriz Riesgo'!H10=2,'Matriz Riesgo'!K10=2)," "&amp;'Matriz Riesgo'!A10&amp;","," "),IF(AND('Matriz Riesgo'!H11=2,'Matriz Riesgo'!K11=2)," "&amp;'Matriz Riesgo'!A11&amp;","," "),IF(AND('Matriz Riesgo'!H12=2,'Matriz Riesgo'!K12=2)," "&amp;'Matriz Riesgo'!A12&amp;","," "),IF(AND('Matriz Riesgo'!H13=2,'Matriz Riesgo'!K13=2)," "&amp;'Matriz Riesgo'!A13&amp;","," "),IF(AND('Matriz Riesgo'!H14=2,'Matriz Riesgo'!K14=2)," "&amp;'Matriz Riesgo'!A14&amp;","," "),IF(AND('Matriz Riesgo'!H15=2,'Matriz Riesgo'!K15=2)," "&amp;'Matriz Riesgo'!A15&amp;","," "),IF(AND('Matriz Riesgo'!H16=2,'Matriz Riesgo'!K16=2)," "&amp;'Matriz Riesgo'!A16&amp;","," "),IF(AND('Matriz Riesgo'!H17=2,'Matriz Riesgo'!K17=2)," "&amp;'Matriz Riesgo'!A17&amp;","," "),IF(AND('Matriz Riesgo'!H18=2,'Matriz Riesgo'!K18=2)," "&amp;'Matriz Riesgo'!A18&amp;","," "),IF(AND('Matriz Riesgo'!H19=2,'Matriz Riesgo'!K19=2)," "&amp;'Matriz Riesgo'!A19&amp;","," "),IF(AND('Matriz Riesgo'!H20=2,'Matriz Riesgo'!K20=2)," "&amp;'Matriz Riesgo'!A20&amp;","," "),IF(AND('Matriz Riesgo'!H21=2,'Matriz Riesgo'!K21=2)," "&amp;'Matriz Riesgo'!A21&amp;","," "),IF(AND('Matriz Riesgo'!H22=2,'Matriz Riesgo'!K22=2)," "&amp;'Matriz Riesgo'!A22&amp;","," "),IF(AND('Matriz Riesgo'!H23=2,'Matriz Riesgo'!K23=2)," "&amp;'Matriz Riesgo'!A23&amp;","," "),IF(AND('Matriz Riesgo'!H24=2,'Matriz Riesgo'!K24=2)," "&amp;'Matriz Riesgo'!A24&amp;","," "),IF(AND('Matriz Riesgo'!H25=2,'Matriz Riesgo'!K25=2)," "&amp;'Matriz Riesgo'!A25&amp;","," "),IF(AND('Matriz Riesgo'!H26=2,'Matriz Riesgo'!K26=2)," "&amp;'Matriz Riesgo'!A26," "))</f>
        <v xml:space="preserve">         9,            </v>
      </c>
      <c r="G7" s="57" t="str">
        <f>CONCATENATE(IF(AND('Matriz Riesgo'!H6=2,'Matriz Riesgo'!K6=3)," "&amp;'Matriz Riesgo'!A6&amp;","," "),IF(AND('Matriz Riesgo'!H7=2,'Matriz Riesgo'!K7=3)," "&amp;'Matriz Riesgo'!A7&amp;","," "),IF(AND('Matriz Riesgo'!H8=2,'Matriz Riesgo'!K8=3)," "&amp;'Matriz Riesgo'!A8&amp;","," "),IF(AND('Matriz Riesgo'!H9=2,'Matriz Riesgo'!K9=3)," "&amp;'Matriz Riesgo'!A9&amp;","," "),IF(AND('Matriz Riesgo'!H10=2,'Matriz Riesgo'!K10=3)," "&amp;'Matriz Riesgo'!A10&amp;","," "),IF(AND('Matriz Riesgo'!H11=2,'Matriz Riesgo'!K11=3)," "&amp;'Matriz Riesgo'!A11&amp;","," "),IF(AND('Matriz Riesgo'!H12=2,'Matriz Riesgo'!K12=3)," "&amp;'Matriz Riesgo'!A12&amp;","," "),IF(AND('Matriz Riesgo'!H13=2,'Matriz Riesgo'!K13=3)," "&amp;'Matriz Riesgo'!A13&amp;","," "),IF(AND('Matriz Riesgo'!H14=2,'Matriz Riesgo'!K14=3)," "&amp;'Matriz Riesgo'!A14&amp;","," "),IF(AND('Matriz Riesgo'!H15=2,'Matriz Riesgo'!K15=3)," "&amp;'Matriz Riesgo'!A15&amp;","," "),IF(AND('Matriz Riesgo'!H16=2,'Matriz Riesgo'!K16=3)," "&amp;'Matriz Riesgo'!A16&amp;","," "),IF(AND('Matriz Riesgo'!H17=2,'Matriz Riesgo'!K17=3)," "&amp;'Matriz Riesgo'!A17&amp;","," "),IF(AND('Matriz Riesgo'!H18=2,'Matriz Riesgo'!K18=3)," "&amp;'Matriz Riesgo'!A18&amp;","," "),IF(AND('Matriz Riesgo'!H19=2,'Matriz Riesgo'!K19=3)," "&amp;'Matriz Riesgo'!A19&amp;","," "),IF(AND('Matriz Riesgo'!H20=2,'Matriz Riesgo'!K20=3)," "&amp;'Matriz Riesgo'!A20&amp;","," "),IF(AND('Matriz Riesgo'!H21=2,'Matriz Riesgo'!K21=3)," "&amp;'Matriz Riesgo'!A21&amp;","," "),IF(AND('Matriz Riesgo'!H22=2,'Matriz Riesgo'!K22=3)," "&amp;'Matriz Riesgo'!A22&amp;","," "),IF(AND('Matriz Riesgo'!H23=2,'Matriz Riesgo'!K23=3)," "&amp;'Matriz Riesgo'!A23&amp;","," "),IF(AND('Matriz Riesgo'!H24=2,'Matriz Riesgo'!K24=3)," "&amp;'Matriz Riesgo'!A24&amp;","," "),IF(AND('Matriz Riesgo'!H25=2,'Matriz Riesgo'!K25=3)," "&amp;'Matriz Riesgo'!A25&amp;","," "),IF(AND('Matriz Riesgo'!H26=2,'Matriz Riesgo'!K26=3)," "&amp;'Matriz Riesgo'!A26," "))</f>
        <v xml:space="preserve">                     </v>
      </c>
      <c r="H7" s="57" t="str">
        <f>CONCATENATE(IF(AND('Matriz Riesgo'!H6=2,'Matriz Riesgo'!K6=4)," "&amp;'Matriz Riesgo'!A6&amp;","," "),IF(AND('Matriz Riesgo'!H7=2,'Matriz Riesgo'!K7=4)," "&amp;'Matriz Riesgo'!A7&amp;","," "),IF(AND('Matriz Riesgo'!H8=2,'Matriz Riesgo'!K8=4)," "&amp;'Matriz Riesgo'!A8&amp;","," "),IF(AND('Matriz Riesgo'!H9=2,'Matriz Riesgo'!K9=4)," "&amp;'Matriz Riesgo'!A9&amp;","," "),IF(AND('Matriz Riesgo'!H10=2,'Matriz Riesgo'!K10=4)," "&amp;'Matriz Riesgo'!A10&amp;","," "),IF(AND('Matriz Riesgo'!H11=2,'Matriz Riesgo'!K11=4)," "&amp;'Matriz Riesgo'!A11&amp;","," "),IF(AND('Matriz Riesgo'!H12=2,'Matriz Riesgo'!K12=4)," "&amp;'Matriz Riesgo'!A12&amp;","," "),IF(AND('Matriz Riesgo'!H13=2,'Matriz Riesgo'!K13=4)," "&amp;'Matriz Riesgo'!A13&amp;","," "),IF(AND('Matriz Riesgo'!H14=2,'Matriz Riesgo'!K14=4)," "&amp;'Matriz Riesgo'!A14&amp;","," "),IF(AND('Matriz Riesgo'!H15=2,'Matriz Riesgo'!K15=4)," "&amp;'Matriz Riesgo'!A15&amp;","," "),IF(AND('Matriz Riesgo'!H16=2,'Matriz Riesgo'!K16=4)," "&amp;'Matriz Riesgo'!A16&amp;","," "),IF(AND('Matriz Riesgo'!H17=2,'Matriz Riesgo'!K17=4)," "&amp;'Matriz Riesgo'!A17&amp;","," "),IF(AND('Matriz Riesgo'!H18=2,'Matriz Riesgo'!K18=4)," "&amp;'Matriz Riesgo'!A18&amp;","," "),IF(AND('Matriz Riesgo'!H19=2,'Matriz Riesgo'!K19=4)," "&amp;'Matriz Riesgo'!A19&amp;","," "),IF(AND('Matriz Riesgo'!H20=2,'Matriz Riesgo'!K20=4)," "&amp;'Matriz Riesgo'!A20&amp;","," "),IF(AND('Matriz Riesgo'!H21=2,'Matriz Riesgo'!K21=4)," "&amp;'Matriz Riesgo'!A21&amp;","," "),IF(AND('Matriz Riesgo'!H22=2,'Matriz Riesgo'!K22=4)," "&amp;'Matriz Riesgo'!A22&amp;","," "),IF(AND('Matriz Riesgo'!H23=2,'Matriz Riesgo'!K23=4)," "&amp;'Matriz Riesgo'!A23&amp;","," "),IF(AND('Matriz Riesgo'!H24=2,'Matriz Riesgo'!K24=4)," "&amp;'Matriz Riesgo'!A24&amp;","," "),IF(AND('Matriz Riesgo'!H25=2,'Matriz Riesgo'!K25=4)," "&amp;'Matriz Riesgo'!A25&amp;","," "),IF(AND('Matriz Riesgo'!H26=2,'Matriz Riesgo'!K26=4)," "&amp;'Matriz Riesgo'!A26," "))</f>
        <v xml:space="preserve">                   19,  21</v>
      </c>
      <c r="I7" s="68" t="str">
        <f>CONCATENATE(IF(AND('Matriz Riesgo'!H6=2,'Matriz Riesgo'!K6=5)," "&amp;'Matriz Riesgo'!A6&amp;","," "),IF(AND('Matriz Riesgo'!H7=2,'Matriz Riesgo'!K7=5)," "&amp;'Matriz Riesgo'!A7&amp;","," "),IF(AND('Matriz Riesgo'!H8=2,'Matriz Riesgo'!K8=5)," "&amp;'Matriz Riesgo'!A8&amp;","," "),IF(AND('Matriz Riesgo'!H9=2,'Matriz Riesgo'!K9=5)," "&amp;'Matriz Riesgo'!A9&amp;","," "),IF(AND('Matriz Riesgo'!H10=2,'Matriz Riesgo'!K10=5)," "&amp;'Matriz Riesgo'!A10&amp;","," "),IF(AND('Matriz Riesgo'!H11=2,'Matriz Riesgo'!K11=5)," "&amp;'Matriz Riesgo'!A11&amp;","," "),IF(AND('Matriz Riesgo'!H12=2,'Matriz Riesgo'!K12=5)," "&amp;'Matriz Riesgo'!A12&amp;","," "),IF(AND('Matriz Riesgo'!H13=2,'Matriz Riesgo'!K13=5)," "&amp;'Matriz Riesgo'!A13&amp;","," "),IF(AND('Matriz Riesgo'!H14=2,'Matriz Riesgo'!K14=5)," "&amp;'Matriz Riesgo'!A14&amp;","," "),IF(AND('Matriz Riesgo'!H15=2,'Matriz Riesgo'!K15=5)," "&amp;'Matriz Riesgo'!A15&amp;","," "),IF(AND('Matriz Riesgo'!H16=2,'Matriz Riesgo'!K16=5)," "&amp;'Matriz Riesgo'!A16&amp;","," "),IF(AND('Matriz Riesgo'!H17=2,'Matriz Riesgo'!K17=5)," "&amp;'Matriz Riesgo'!A17&amp;","," "),IF(AND('Matriz Riesgo'!H18=2,'Matriz Riesgo'!K18=5)," "&amp;'Matriz Riesgo'!A18&amp;","," "),IF(AND('Matriz Riesgo'!H19=2,'Matriz Riesgo'!K19=5)," "&amp;'Matriz Riesgo'!A19&amp;","," "),IF(AND('Matriz Riesgo'!H20=2,'Matriz Riesgo'!K20=5)," "&amp;'Matriz Riesgo'!A20&amp;","," "),IF(AND('Matriz Riesgo'!H21=2,'Matriz Riesgo'!K21=5)," "&amp;'Matriz Riesgo'!A21&amp;","," "),IF(AND('Matriz Riesgo'!H22=2,'Matriz Riesgo'!K22=5)," "&amp;'Matriz Riesgo'!A22&amp;","," "),IF(AND('Matriz Riesgo'!H23=2,'Matriz Riesgo'!K23=5)," "&amp;'Matriz Riesgo'!A23&amp;","," "),IF(AND('Matriz Riesgo'!H24=2,'Matriz Riesgo'!K24=5)," "&amp;'Matriz Riesgo'!A24&amp;","," "),IF(AND('Matriz Riesgo'!H25=2,'Matriz Riesgo'!K25=5)," "&amp;'Matriz Riesgo'!A25&amp;","," "),IF(AND('Matriz Riesgo'!H26=2,'Matriz Riesgo'!K26=5)," "&amp;'Matriz Riesgo'!A26," "))</f>
        <v xml:space="preserve">                     </v>
      </c>
      <c r="K7" t="s">
        <v>130</v>
      </c>
    </row>
    <row r="8" spans="2:23" ht="21" customHeight="1" thickBot="1" x14ac:dyDescent="0.35">
      <c r="B8" s="45">
        <v>1</v>
      </c>
      <c r="C8" s="118"/>
      <c r="D8" s="18" t="s">
        <v>46</v>
      </c>
      <c r="E8" s="59" t="str">
        <f>CONCATENATE(IF(AND('Matriz Riesgo'!H6=1,'Matriz Riesgo'!K6=1)," "&amp;'Matriz Riesgo'!A6&amp;","," "),IF(AND('Matriz Riesgo'!H7=1,'Matriz Riesgo'!K7=1)," "&amp;'Matriz Riesgo'!A7&amp;","," "),IF(AND('Matriz Riesgo'!H8=1,'Matriz Riesgo'!K8=1)," "&amp;'Matriz Riesgo'!A8&amp;","," "),IF(AND('Matriz Riesgo'!H9=1,'Matriz Riesgo'!K9=1)," "&amp;'Matriz Riesgo'!A9&amp;","," "),IF(AND('Matriz Riesgo'!H10=1,'Matriz Riesgo'!K10=1)," "&amp;'Matriz Riesgo'!A10&amp;","," "),IF(AND('Matriz Riesgo'!H11=1,'Matriz Riesgo'!K11=1)," "&amp;'Matriz Riesgo'!A11&amp;","," "),IF(AND('Matriz Riesgo'!H12=1,'Matriz Riesgo'!K12=1)," "&amp;'Matriz Riesgo'!A12&amp;","," "),IF(AND('Matriz Riesgo'!H13=1,'Matriz Riesgo'!K13=1)," "&amp;'Matriz Riesgo'!A13&amp;","," "),IF(AND('Matriz Riesgo'!H14=1,'Matriz Riesgo'!K14=1)," "&amp;'Matriz Riesgo'!A14&amp;","," "),IF(AND('Matriz Riesgo'!H15=1,'Matriz Riesgo'!K15=1)," "&amp;'Matriz Riesgo'!A15&amp;","," "),IF(AND('Matriz Riesgo'!H16=1,'Matriz Riesgo'!K16=1)," "&amp;'Matriz Riesgo'!A16&amp;","," "),IF(AND('Matriz Riesgo'!H17=1,'Matriz Riesgo'!K17=1)," "&amp;'Matriz Riesgo'!A17&amp;","," "),IF(AND('Matriz Riesgo'!H18=1,'Matriz Riesgo'!K18=1)," "&amp;'Matriz Riesgo'!A18&amp;","," "),IF(AND('Matriz Riesgo'!H19=1,'Matriz Riesgo'!K19=1)," "&amp;'Matriz Riesgo'!A19&amp;","," "),IF(AND('Matriz Riesgo'!H20=1,'Matriz Riesgo'!K20=1)," "&amp;'Matriz Riesgo'!A20&amp;","," "),IF(AND('Matriz Riesgo'!H21=1,'Matriz Riesgo'!K21=1)," "&amp;'Matriz Riesgo'!A21&amp;","," "),IF(AND('Matriz Riesgo'!H22=1,'Matriz Riesgo'!K22=1)," "&amp;'Matriz Riesgo'!A22&amp;","," "),IF(AND('Matriz Riesgo'!H23=1,'Matriz Riesgo'!K23=1)," "&amp;'Matriz Riesgo'!A23&amp;","," "),IF(AND('Matriz Riesgo'!H24=1,'Matriz Riesgo'!K24=1)," "&amp;'Matriz Riesgo'!A24&amp;","," "),IF(AND('Matriz Riesgo'!H25=1,'Matriz Riesgo'!K25=1)," "&amp;'Matriz Riesgo'!A25&amp;","," "),IF(AND('Matriz Riesgo'!H26=1,'Matriz Riesgo'!K26=1)," "&amp;'Matriz Riesgo'!A26," "))</f>
        <v xml:space="preserve">                     </v>
      </c>
      <c r="F8" s="59" t="str">
        <f>CONCATENATE(IF(AND('Matriz Riesgo'!H6=1,'Matriz Riesgo'!K6=2)," "&amp;'Matriz Riesgo'!A6&amp;","," "),IF(AND('Matriz Riesgo'!H7=1,'Matriz Riesgo'!K7=2)," "&amp;'Matriz Riesgo'!A7&amp;","," "),IF(AND('Matriz Riesgo'!H8=1,'Matriz Riesgo'!K8=2)," "&amp;'Matriz Riesgo'!A8&amp;","," "),IF(AND('Matriz Riesgo'!H9=1,'Matriz Riesgo'!K9=2)," "&amp;'Matriz Riesgo'!A9&amp;","," "),IF(AND('Matriz Riesgo'!H10=1,'Matriz Riesgo'!K10=2)," "&amp;'Matriz Riesgo'!A10&amp;","," "),IF(AND('Matriz Riesgo'!H11=1,'Matriz Riesgo'!K11=2)," "&amp;'Matriz Riesgo'!A11&amp;","," "),IF(AND('Matriz Riesgo'!H12=1,'Matriz Riesgo'!K12=2)," "&amp;'Matriz Riesgo'!A12&amp;","," "),IF(AND('Matriz Riesgo'!H13=1,'Matriz Riesgo'!K13=2)," "&amp;'Matriz Riesgo'!A13&amp;","," "),IF(AND('Matriz Riesgo'!H14=1,'Matriz Riesgo'!K14=2)," "&amp;'Matriz Riesgo'!A14&amp;","," "),IF(AND('Matriz Riesgo'!H15=1,'Matriz Riesgo'!K15=2)," "&amp;'Matriz Riesgo'!A15&amp;","," "),IF(AND('Matriz Riesgo'!H16=1,'Matriz Riesgo'!K16=2)," "&amp;'Matriz Riesgo'!A16&amp;","," "),IF(AND('Matriz Riesgo'!H17=1,'Matriz Riesgo'!K17=2)," "&amp;'Matriz Riesgo'!A17&amp;","," "),IF(AND('Matriz Riesgo'!H18=1,'Matriz Riesgo'!K18=2)," "&amp;'Matriz Riesgo'!A18&amp;","," "),IF(AND('Matriz Riesgo'!H19=1,'Matriz Riesgo'!K19=2)," "&amp;'Matriz Riesgo'!A19&amp;","," "),IF(AND('Matriz Riesgo'!H20=1,'Matriz Riesgo'!K20=2)," "&amp;'Matriz Riesgo'!A20&amp;","," "),IF(AND('Matriz Riesgo'!H21=1,'Matriz Riesgo'!K21=2)," "&amp;'Matriz Riesgo'!A21&amp;","," "),IF(AND('Matriz Riesgo'!H22=1,'Matriz Riesgo'!K22=2)," "&amp;'Matriz Riesgo'!A22&amp;","," "),IF(AND('Matriz Riesgo'!H23=1,'Matriz Riesgo'!K23=2)," "&amp;'Matriz Riesgo'!A23&amp;","," "),IF(AND('Matriz Riesgo'!H24=1,'Matriz Riesgo'!K24=2)," "&amp;'Matriz Riesgo'!A24&amp;","," "),IF(AND('Matriz Riesgo'!H25=1,'Matriz Riesgo'!K25=2)," "&amp;'Matriz Riesgo'!A25&amp;","," "),IF(AND('Matriz Riesgo'!H26=1,'Matriz Riesgo'!K26=2)," "&amp;'Matriz Riesgo'!A26," "))</f>
        <v xml:space="preserve">             13,        </v>
      </c>
      <c r="G8" s="56" t="str">
        <f>CONCATENATE(IF(AND('Matriz Riesgo'!H6=1,'Matriz Riesgo'!K6=3)," "&amp;'Matriz Riesgo'!A6&amp;","," "),IF(AND('Matriz Riesgo'!H7=1,'Matriz Riesgo'!K7=3)," "&amp;'Matriz Riesgo'!A7&amp;","," "),IF(AND('Matriz Riesgo'!H8=1,'Matriz Riesgo'!K8=3)," "&amp;'Matriz Riesgo'!A8&amp;","," "),IF(AND('Matriz Riesgo'!H9=1,'Matriz Riesgo'!K9=3)," "&amp;'Matriz Riesgo'!A9&amp;","," "),IF(AND('Matriz Riesgo'!H10=1,'Matriz Riesgo'!K10=3)," "&amp;'Matriz Riesgo'!A10&amp;","," "),IF(AND('Matriz Riesgo'!H11=1,'Matriz Riesgo'!K11=3)," "&amp;'Matriz Riesgo'!A11&amp;","," "),IF(AND('Matriz Riesgo'!H12=1,'Matriz Riesgo'!K12=3)," "&amp;'Matriz Riesgo'!A12&amp;","," "),IF(AND('Matriz Riesgo'!H13=1,'Matriz Riesgo'!K13=3)," "&amp;'Matriz Riesgo'!A13&amp;","," "),IF(AND('Matriz Riesgo'!H14=1,'Matriz Riesgo'!K14=3)," "&amp;'Matriz Riesgo'!A14&amp;","," "),IF(AND('Matriz Riesgo'!H15=1,'Matriz Riesgo'!K15=3)," "&amp;'Matriz Riesgo'!A15&amp;","," "),IF(AND('Matriz Riesgo'!H16=1,'Matriz Riesgo'!K16=3)," "&amp;'Matriz Riesgo'!A16&amp;","," "),IF(AND('Matriz Riesgo'!H17=1,'Matriz Riesgo'!K17=3)," "&amp;'Matriz Riesgo'!A17&amp;","," "),IF(AND('Matriz Riesgo'!H18=1,'Matriz Riesgo'!K18=3)," "&amp;'Matriz Riesgo'!A18&amp;","," "),IF(AND('Matriz Riesgo'!H19=1,'Matriz Riesgo'!K19=3)," "&amp;'Matriz Riesgo'!A19&amp;","," "),IF(AND('Matriz Riesgo'!H20=1,'Matriz Riesgo'!K20=3)," "&amp;'Matriz Riesgo'!A20&amp;","," "),IF(AND('Matriz Riesgo'!H21=1,'Matriz Riesgo'!K21=3)," "&amp;'Matriz Riesgo'!A21&amp;","," "),IF(AND('Matriz Riesgo'!H22=1,'Matriz Riesgo'!K22=3)," "&amp;'Matriz Riesgo'!A22&amp;","," "),IF(AND('Matriz Riesgo'!H23=1,'Matriz Riesgo'!K23=3)," "&amp;'Matriz Riesgo'!A23&amp;","," "),IF(AND('Matriz Riesgo'!H24=1,'Matriz Riesgo'!K24=3)," "&amp;'Matriz Riesgo'!A24&amp;","," "),IF(AND('Matriz Riesgo'!H25=1,'Matriz Riesgo'!K25=3)," "&amp;'Matriz Riesgo'!A25&amp;","," "),IF(AND('Matriz Riesgo'!H26=1,'Matriz Riesgo'!K26=3)," "&amp;'Matriz Riesgo'!A26," "))</f>
        <v xml:space="preserve">            12,  14,  16,     </v>
      </c>
      <c r="H8" s="60" t="str">
        <f>CONCATENATE(IF(AND('Matriz Riesgo'!H6=1,'Matriz Riesgo'!K6=4)," "&amp;'Matriz Riesgo'!A6&amp;","," "),IF(AND('Matriz Riesgo'!H7=1,'Matriz Riesgo'!K7=4)," "&amp;'Matriz Riesgo'!A7&amp;","," "),IF(AND('Matriz Riesgo'!H8=1,'Matriz Riesgo'!K8=4)," "&amp;'Matriz Riesgo'!A8&amp;","," "),IF(AND('Matriz Riesgo'!H9=1,'Matriz Riesgo'!K9=4)," "&amp;'Matriz Riesgo'!A9&amp;","," "),IF(AND('Matriz Riesgo'!H10=1,'Matriz Riesgo'!K10=4)," "&amp;'Matriz Riesgo'!A10&amp;","," "),IF(AND('Matriz Riesgo'!H11=1,'Matriz Riesgo'!K11=4)," "&amp;'Matriz Riesgo'!A11&amp;","," "),IF(AND('Matriz Riesgo'!H12=1,'Matriz Riesgo'!K12=4)," "&amp;'Matriz Riesgo'!A12&amp;","," "),IF(AND('Matriz Riesgo'!H13=1,'Matriz Riesgo'!K13=4)," "&amp;'Matriz Riesgo'!A13&amp;","," "),IF(AND('Matriz Riesgo'!H14=1,'Matriz Riesgo'!K14=4)," "&amp;'Matriz Riesgo'!A14&amp;","," "),IF(AND('Matriz Riesgo'!H15=1,'Matriz Riesgo'!K15=4)," "&amp;'Matriz Riesgo'!A15&amp;","," "),IF(AND('Matriz Riesgo'!H16=1,'Matriz Riesgo'!K16=4)," "&amp;'Matriz Riesgo'!A16&amp;","," "),IF(AND('Matriz Riesgo'!H17=1,'Matriz Riesgo'!K17=4)," "&amp;'Matriz Riesgo'!A17&amp;","," "),IF(AND('Matriz Riesgo'!H18=1,'Matriz Riesgo'!K18=4)," "&amp;'Matriz Riesgo'!A18&amp;","," "),IF(AND('Matriz Riesgo'!H19=1,'Matriz Riesgo'!K19=4)," "&amp;'Matriz Riesgo'!A19&amp;","," "),IF(AND('Matriz Riesgo'!H20=1,'Matriz Riesgo'!K20=4)," "&amp;'Matriz Riesgo'!A20&amp;","," "),IF(AND('Matriz Riesgo'!H21=1,'Matriz Riesgo'!K21=4)," "&amp;'Matriz Riesgo'!A21&amp;","," "),IF(AND('Matriz Riesgo'!H22=1,'Matriz Riesgo'!K22=4)," "&amp;'Matriz Riesgo'!A22&amp;","," "),IF(AND('Matriz Riesgo'!H23=1,'Matriz Riesgo'!K23=4)," "&amp;'Matriz Riesgo'!A23&amp;","," "),IF(AND('Matriz Riesgo'!H24=1,'Matriz Riesgo'!K24=4)," "&amp;'Matriz Riesgo'!A24&amp;","," "),IF(AND('Matriz Riesgo'!H25=1,'Matriz Riesgo'!K25=4)," "&amp;'Matriz Riesgo'!A25&amp;","," "),IF(AND('Matriz Riesgo'!H26=1,'Matriz Riesgo'!K26=4)," "&amp;'Matriz Riesgo'!A26," "))</f>
        <v xml:space="preserve">                     </v>
      </c>
      <c r="I8" s="55" t="str">
        <f>CONCATENATE(IF(AND('Matriz Riesgo'!H6=1,'Matriz Riesgo'!K6=5)," "&amp;'Matriz Riesgo'!A6&amp;","," "),IF(AND('Matriz Riesgo'!H7=1,'Matriz Riesgo'!K7=5)," "&amp;'Matriz Riesgo'!A7&amp;","," "),IF(AND('Matriz Riesgo'!H8=1,'Matriz Riesgo'!K8=5)," "&amp;'Matriz Riesgo'!A8&amp;","," "),IF(AND('Matriz Riesgo'!H9=1,'Matriz Riesgo'!K9=5)," "&amp;'Matriz Riesgo'!A9&amp;","," "),IF(AND('Matriz Riesgo'!H10=1,'Matriz Riesgo'!K10=5)," "&amp;'Matriz Riesgo'!A10&amp;","," "),IF(AND('Matriz Riesgo'!H11=1,'Matriz Riesgo'!K11=5)," "&amp;'Matriz Riesgo'!A11&amp;","," "),IF(AND('Matriz Riesgo'!H12=1,'Matriz Riesgo'!K12=5)," "&amp;'Matriz Riesgo'!A12&amp;","," "),IF(AND('Matriz Riesgo'!H13=1,'Matriz Riesgo'!K13=5)," "&amp;'Matriz Riesgo'!A13&amp;","," "),IF(AND('Matriz Riesgo'!H14=1,'Matriz Riesgo'!K14=5)," "&amp;'Matriz Riesgo'!A14&amp;","," "),IF(AND('Matriz Riesgo'!H15=1,'Matriz Riesgo'!K15=5)," "&amp;'Matriz Riesgo'!A15&amp;","," "),IF(AND('Matriz Riesgo'!H16=1,'Matriz Riesgo'!K16=5)," "&amp;'Matriz Riesgo'!A16&amp;","," "),IF(AND('Matriz Riesgo'!H17=1,'Matriz Riesgo'!K17=5)," "&amp;'Matriz Riesgo'!A17&amp;","," "),IF(AND('Matriz Riesgo'!H18=1,'Matriz Riesgo'!K18=5)," "&amp;'Matriz Riesgo'!A18&amp;","," "),IF(AND('Matriz Riesgo'!H19=1,'Matriz Riesgo'!K19=5)," "&amp;'Matriz Riesgo'!A19&amp;","," "),IF(AND('Matriz Riesgo'!H20=1,'Matriz Riesgo'!K20=5)," "&amp;'Matriz Riesgo'!A20&amp;","," "),IF(AND('Matriz Riesgo'!H21=1,'Matriz Riesgo'!K21=5)," "&amp;'Matriz Riesgo'!A21&amp;","," "),IF(AND('Matriz Riesgo'!H22=1,'Matriz Riesgo'!K22=5)," "&amp;'Matriz Riesgo'!A22&amp;","," "),IF(AND('Matriz Riesgo'!H23=1,'Matriz Riesgo'!K23=5)," "&amp;'Matriz Riesgo'!A23&amp;","," "),IF(AND('Matriz Riesgo'!H24=1,'Matriz Riesgo'!K24=5)," "&amp;'Matriz Riesgo'!A24&amp;","," "),IF(AND('Matriz Riesgo'!H25=1,'Matriz Riesgo'!K25=5)," "&amp;'Matriz Riesgo'!A25&amp;","," "),IF(AND('Matriz Riesgo'!H26=1,'Matriz Riesgo'!K26=5)," "&amp;'Matriz Riesgo'!A26," "))</f>
        <v xml:space="preserve">                     </v>
      </c>
      <c r="K8" t="s">
        <v>132</v>
      </c>
    </row>
    <row r="9" spans="2:23" ht="21" customHeight="1" thickBot="1" x14ac:dyDescent="0.35">
      <c r="E9" s="15" t="s">
        <v>22</v>
      </c>
      <c r="F9" s="16" t="s">
        <v>18</v>
      </c>
      <c r="G9" s="16" t="s">
        <v>11</v>
      </c>
      <c r="H9" s="16" t="s">
        <v>20</v>
      </c>
      <c r="I9" s="16" t="s">
        <v>47</v>
      </c>
    </row>
    <row r="10" spans="2:23" ht="21" customHeight="1" thickBot="1" x14ac:dyDescent="0.35">
      <c r="E10" s="119" t="s">
        <v>34</v>
      </c>
      <c r="F10" s="120"/>
      <c r="G10" s="120"/>
      <c r="H10" s="120"/>
      <c r="I10" s="121"/>
      <c r="L10" s="12"/>
      <c r="M10" s="12"/>
      <c r="U10">
        <v>4</v>
      </c>
      <c r="V10">
        <v>4</v>
      </c>
      <c r="W10">
        <v>16</v>
      </c>
    </row>
    <row r="11" spans="2:23" ht="21" customHeight="1" x14ac:dyDescent="0.3">
      <c r="E11" s="44">
        <v>1</v>
      </c>
      <c r="F11" s="44">
        <v>2</v>
      </c>
      <c r="G11" s="44">
        <v>3</v>
      </c>
      <c r="H11" s="44">
        <v>4</v>
      </c>
      <c r="I11" s="44">
        <v>5</v>
      </c>
      <c r="L11" s="12"/>
      <c r="M11" s="12"/>
      <c r="U11">
        <v>3</v>
      </c>
      <c r="V11">
        <v>4</v>
      </c>
      <c r="W11">
        <v>12</v>
      </c>
    </row>
    <row r="12" spans="2:23" x14ac:dyDescent="0.35">
      <c r="L12" s="12"/>
      <c r="M12" s="12"/>
      <c r="U12">
        <v>2</v>
      </c>
      <c r="V12">
        <v>4</v>
      </c>
      <c r="W12">
        <v>8</v>
      </c>
    </row>
    <row r="13" spans="2:23" x14ac:dyDescent="0.35">
      <c r="D13" s="19" t="s">
        <v>107</v>
      </c>
      <c r="L13" s="12"/>
      <c r="M13" s="12"/>
      <c r="U13">
        <v>1</v>
      </c>
      <c r="V13">
        <v>4</v>
      </c>
      <c r="W13">
        <v>4</v>
      </c>
    </row>
    <row r="14" spans="2:23" ht="18.600000000000001" thickBot="1" x14ac:dyDescent="0.4">
      <c r="L14" s="12"/>
      <c r="M14" s="12"/>
      <c r="U14">
        <v>5</v>
      </c>
      <c r="V14">
        <v>3</v>
      </c>
      <c r="W14">
        <v>15</v>
      </c>
    </row>
    <row r="15" spans="2:23" ht="18.600000000000001" thickBot="1" x14ac:dyDescent="0.35">
      <c r="B15" s="45">
        <v>5</v>
      </c>
      <c r="C15" s="116" t="s">
        <v>33</v>
      </c>
      <c r="D15" s="17" t="s">
        <v>42</v>
      </c>
      <c r="E15" s="2" t="str">
        <f>CONCATENATE(IF(AND('Matriz Riesgo'!Z6=5,'Matriz Riesgo'!AE6=1)," "&amp;'Matriz Riesgo'!A6&amp;","," "),IF(AND('Matriz Riesgo'!Z7=5,'Matriz Riesgo'!AE7=1)," "&amp;'Matriz Riesgo'!A7&amp;","," "),IF(AND('Matriz Riesgo'!Z8=5,'Matriz Riesgo'!AE8=1)," "&amp;'Matriz Riesgo'!A8&amp;","," "),IF(AND('Matriz Riesgo'!Z9=5,'Matriz Riesgo'!AE9=1)," "&amp;'Matriz Riesgo'!A9&amp;","," "),IF(AND('Matriz Riesgo'!Z10=5,'Matriz Riesgo'!AE10=1)," "&amp;'Matriz Riesgo'!A10&amp;","," "),IF(AND('Matriz Riesgo'!Z11=5,'Matriz Riesgo'!AE11=1)," "&amp;'Matriz Riesgo'!A11&amp;","," "),IF(AND('Matriz Riesgo'!Z12=5,'Matriz Riesgo'!AE12=1)," "&amp;'Matriz Riesgo'!A12&amp;","," "),IF(AND('Matriz Riesgo'!Z13=5,'Matriz Riesgo'!AE13=1)," "&amp;'Matriz Riesgo'!A13&amp;","," "),IF(AND('Matriz Riesgo'!Z14=5,'Matriz Riesgo'!AE14=1)," "&amp;'Matriz Riesgo'!A14&amp;","," "),IF(AND('Matriz Riesgo'!Z15=5,'Matriz Riesgo'!AE15=1)," "&amp;'Matriz Riesgo'!A15&amp;","," "),IF(AND('Matriz Riesgo'!Z16=5,'Matriz Riesgo'!AE16=1)," "&amp;'Matriz Riesgo'!A16&amp;","," "),IF(AND('Matriz Riesgo'!Z17=5,'Matriz Riesgo'!AE17=1)," "&amp;'Matriz Riesgo'!A17&amp;","," "),IF(AND('Matriz Riesgo'!Z18=5,'Matriz Riesgo'!AE18=1)," "&amp;'Matriz Riesgo'!A18&amp;","," "),IF(AND('Matriz Riesgo'!Z19=5,'Matriz Riesgo'!AE19=1)," "&amp;'Matriz Riesgo'!A19&amp;","," "),IF(AND('Matriz Riesgo'!Z20=5,'Matriz Riesgo'!AE20=1)," "&amp;'Matriz Riesgo'!A20&amp;","," "),IF(AND('Matriz Riesgo'!Z21=5,'Matriz Riesgo'!AE21=1)," "&amp;'Matriz Riesgo'!A21&amp;","," "),IF(AND('Matriz Riesgo'!Z22=5,'Matriz Riesgo'!AE22=1)," "&amp;'Matriz Riesgo'!A22&amp;","," "),IF(AND('Matriz Riesgo'!Z23=5,'Matriz Riesgo'!AE23=1)," "&amp;'Matriz Riesgo'!A23&amp;","," "),IF(AND('Matriz Riesgo'!Z24=5,'Matriz Riesgo'!AE24=1)," "&amp;'Matriz Riesgo'!A24&amp;","," "),IF(AND('Matriz Riesgo'!Z25=5,'Matriz Riesgo'!AE25=1)," "&amp;'Matriz Riesgo'!A25&amp;","," "),IF(AND('Matriz Riesgo'!Z26=5,'Matriz Riesgo'!AE26=1)," "&amp;'Matriz Riesgo'!A26," "))</f>
        <v xml:space="preserve">                     </v>
      </c>
      <c r="F15" s="3" t="str">
        <f>CONCATENATE(IF(AND('Matriz Riesgo'!Z6=5,'Matriz Riesgo'!AE6=2)," "&amp;'Matriz Riesgo'!A6&amp;","," "),IF(AND('Matriz Riesgo'!Z7=5,'Matriz Riesgo'!AE7=2)," "&amp;'Matriz Riesgo'!A7&amp;","," "),IF(AND('Matriz Riesgo'!Z8=5,'Matriz Riesgo'!AE8=2)," "&amp;'Matriz Riesgo'!A8&amp;","," "),IF(AND('Matriz Riesgo'!Z9=5,'Matriz Riesgo'!AE9=2)," "&amp;'Matriz Riesgo'!A9&amp;","," "),IF(AND('Matriz Riesgo'!Z10=5,'Matriz Riesgo'!AE10=2)," "&amp;'Matriz Riesgo'!A10&amp;","," "),IF(AND('Matriz Riesgo'!Z11=5,'Matriz Riesgo'!AE11=2)," "&amp;'Matriz Riesgo'!A11&amp;","," "),IF(AND('Matriz Riesgo'!Z12=5,'Matriz Riesgo'!AE12=2)," "&amp;'Matriz Riesgo'!A12&amp;","," "),IF(AND('Matriz Riesgo'!Z13=5,'Matriz Riesgo'!AE13=2)," "&amp;'Matriz Riesgo'!A13&amp;","," "),IF(AND('Matriz Riesgo'!Z14=5,'Matriz Riesgo'!AE14=2)," "&amp;'Matriz Riesgo'!A14&amp;","," "),IF(AND('Matriz Riesgo'!Z15=5,'Matriz Riesgo'!AE15=2)," "&amp;'Matriz Riesgo'!A15&amp;","," "),IF(AND('Matriz Riesgo'!Z16=5,'Matriz Riesgo'!AE16=2)," "&amp;'Matriz Riesgo'!A16&amp;","," "),IF(AND('Matriz Riesgo'!Z17=5,'Matriz Riesgo'!AE17=2)," "&amp;'Matriz Riesgo'!A17&amp;","," "),IF(AND('Matriz Riesgo'!Z18=5,'Matriz Riesgo'!AE18=2)," "&amp;'Matriz Riesgo'!A18&amp;","," "),IF(AND('Matriz Riesgo'!Z19=5,'Matriz Riesgo'!AE19=2)," "&amp;'Matriz Riesgo'!A19&amp;","," "),IF(AND('Matriz Riesgo'!Z20=5,'Matriz Riesgo'!AE20=2)," "&amp;'Matriz Riesgo'!A20&amp;","," "),IF(AND('Matriz Riesgo'!Z21=5,'Matriz Riesgo'!AE21=2)," "&amp;'Matriz Riesgo'!A21&amp;","," "),IF(AND('Matriz Riesgo'!Z22=5,'Matriz Riesgo'!AE22=2)," "&amp;'Matriz Riesgo'!A22&amp;","," "),IF(AND('Matriz Riesgo'!Z23=5,'Matriz Riesgo'!AE23=2)," "&amp;'Matriz Riesgo'!A23&amp;","," "),IF(AND('Matriz Riesgo'!Z24=5,'Matriz Riesgo'!AE24=2)," "&amp;'Matriz Riesgo'!A24&amp;","," "),IF(AND('Matriz Riesgo'!Z25=5,'Matriz Riesgo'!AE25=2)," "&amp;'Matriz Riesgo'!A25&amp;","," "),IF(AND('Matriz Riesgo'!Z26=5,'Matriz Riesgo'!AE26=2)," "&amp;'Matriz Riesgo'!A26," "))</f>
        <v xml:space="preserve">                     </v>
      </c>
      <c r="G15" s="3" t="str">
        <f>CONCATENATE(IF(AND('Matriz Riesgo'!Z6=5,'Matriz Riesgo'!AE6=3)," "&amp;'Matriz Riesgo'!A6&amp;","," "),IF(AND('Matriz Riesgo'!Z7=5,'Matriz Riesgo'!AE7=3)," "&amp;'Matriz Riesgo'!A7&amp;","," "),IF(AND('Matriz Riesgo'!Z8=5,'Matriz Riesgo'!AE8=3)," "&amp;'Matriz Riesgo'!A8&amp;","," "),IF(AND('Matriz Riesgo'!Z9=5,'Matriz Riesgo'!AE9=3)," "&amp;'Matriz Riesgo'!A9&amp;","," "),IF(AND('Matriz Riesgo'!Z10=5,'Matriz Riesgo'!AE10=3)," "&amp;'Matriz Riesgo'!A10&amp;","," "),IF(AND('Matriz Riesgo'!Z11=5,'Matriz Riesgo'!AE11=3)," "&amp;'Matriz Riesgo'!A11&amp;","," "),IF(AND('Matriz Riesgo'!Z12=5,'Matriz Riesgo'!AE12=3)," "&amp;'Matriz Riesgo'!A12&amp;","," "),IF(AND('Matriz Riesgo'!Z13=5,'Matriz Riesgo'!AE13=3)," "&amp;'Matriz Riesgo'!A13&amp;","," "),IF(AND('Matriz Riesgo'!Z14=5,'Matriz Riesgo'!AE14=3)," "&amp;'Matriz Riesgo'!A14&amp;","," "),IF(AND('Matriz Riesgo'!Z15=5,'Matriz Riesgo'!AE15=3)," "&amp;'Matriz Riesgo'!A15&amp;","," "),IF(AND('Matriz Riesgo'!Z16=5,'Matriz Riesgo'!AE16=3)," "&amp;'Matriz Riesgo'!A16&amp;","," "),IF(AND('Matriz Riesgo'!Z17=5,'Matriz Riesgo'!AE17=3)," "&amp;'Matriz Riesgo'!A17&amp;","," "),IF(AND('Matriz Riesgo'!Z18=5,'Matriz Riesgo'!AE18=3)," "&amp;'Matriz Riesgo'!A18&amp;","," "),IF(AND('Matriz Riesgo'!Z19=5,'Matriz Riesgo'!AE19=3)," "&amp;'Matriz Riesgo'!A19&amp;","," "),IF(AND('Matriz Riesgo'!Z20=5,'Matriz Riesgo'!AE20=3)," "&amp;'Matriz Riesgo'!A20&amp;","," "),IF(AND('Matriz Riesgo'!Z21=5,'Matriz Riesgo'!AE21=3)," "&amp;'Matriz Riesgo'!A21&amp;","," "),IF(AND('Matriz Riesgo'!Z22=5,'Matriz Riesgo'!AE22=3)," "&amp;'Matriz Riesgo'!A22&amp;","," "),IF(AND('Matriz Riesgo'!Z23=5,'Matriz Riesgo'!AE23=3)," "&amp;'Matriz Riesgo'!A23&amp;","," "),IF(AND('Matriz Riesgo'!Z24=5,'Matriz Riesgo'!AE24=3)," "&amp;'Matriz Riesgo'!A24&amp;","," "),IF(AND('Matriz Riesgo'!Z25=5,'Matriz Riesgo'!AE25=3)," "&amp;'Matriz Riesgo'!A25&amp;","," "),IF(AND('Matriz Riesgo'!Z26=5,'Matriz Riesgo'!AE26=3)," "&amp;'Matriz Riesgo'!A26," "))</f>
        <v xml:space="preserve">                     </v>
      </c>
      <c r="H15" s="4" t="str">
        <f>CONCATENATE(IF(AND('Matriz Riesgo'!Z6=5,'Matriz Riesgo'!AE6=4)," "&amp;'Matriz Riesgo'!A6&amp;","," "),IF(AND('Matriz Riesgo'!Z7=5,'Matriz Riesgo'!AE7=4)," "&amp;'Matriz Riesgo'!A7&amp;","," "),IF(AND('Matriz Riesgo'!Z8=5,'Matriz Riesgo'!AE8=4)," "&amp;'Matriz Riesgo'!A8&amp;","," "),IF(AND('Matriz Riesgo'!Z9=5,'Matriz Riesgo'!AE9=4)," "&amp;'Matriz Riesgo'!A9&amp;","," "),IF(AND('Matriz Riesgo'!Z10=5,'Matriz Riesgo'!AE10=4)," "&amp;'Matriz Riesgo'!A10&amp;","," "),IF(AND('Matriz Riesgo'!Z11=5,'Matriz Riesgo'!AE11=4)," "&amp;'Matriz Riesgo'!A11&amp;","," "),IF(AND('Matriz Riesgo'!Z12=5,'Matriz Riesgo'!AE12=4)," "&amp;'Matriz Riesgo'!A12&amp;","," "),IF(AND('Matriz Riesgo'!Z13=5,'Matriz Riesgo'!AE13=4)," "&amp;'Matriz Riesgo'!A13&amp;","," "),IF(AND('Matriz Riesgo'!Z14=5,'Matriz Riesgo'!AE14=4)," "&amp;'Matriz Riesgo'!A14&amp;","," "),IF(AND('Matriz Riesgo'!Z15=5,'Matriz Riesgo'!AE15=4)," "&amp;'Matriz Riesgo'!A15&amp;","," "),IF(AND('Matriz Riesgo'!Z16=5,'Matriz Riesgo'!AE16=4)," "&amp;'Matriz Riesgo'!A16&amp;","," "),IF(AND('Matriz Riesgo'!Z17=5,'Matriz Riesgo'!AE17=4)," "&amp;'Matriz Riesgo'!A17&amp;","," "),IF(AND('Matriz Riesgo'!Z18=5,'Matriz Riesgo'!AE18=4)," "&amp;'Matriz Riesgo'!A18&amp;","," "),IF(AND('Matriz Riesgo'!Z19=5,'Matriz Riesgo'!AE19=4)," "&amp;'Matriz Riesgo'!A19&amp;","," "),IF(AND('Matriz Riesgo'!Z20=5,'Matriz Riesgo'!AE20=4)," "&amp;'Matriz Riesgo'!A20&amp;","," "),IF(AND('Matriz Riesgo'!Z21=5,'Matriz Riesgo'!AE21=4)," "&amp;'Matriz Riesgo'!A21&amp;","," "),IF(AND('Matriz Riesgo'!Z22=5,'Matriz Riesgo'!AE22=4)," "&amp;'Matriz Riesgo'!A22&amp;","," "),IF(AND('Matriz Riesgo'!Z23=5,'Matriz Riesgo'!AE23=4)," "&amp;'Matriz Riesgo'!A23&amp;","," "),IF(AND('Matriz Riesgo'!Z24=5,'Matriz Riesgo'!AE24=4)," "&amp;'Matriz Riesgo'!A24&amp;","," "),IF(AND('Matriz Riesgo'!Z25=5,'Matriz Riesgo'!AE25=4)," "&amp;'Matriz Riesgo'!A25&amp;","," "),IF(AND('Matriz Riesgo'!Z26=5,'Matriz Riesgo'!AE26=4)," "&amp;'Matriz Riesgo'!A26," "))</f>
        <v xml:space="preserve">                     </v>
      </c>
      <c r="I15" s="4" t="str">
        <f>CONCATENATE(IF(AND('Matriz Riesgo'!Z6=5,'Matriz Riesgo'!AE6=5)," "&amp;'Matriz Riesgo'!A6&amp;","," "),IF(AND('Matriz Riesgo'!Z7=5,'Matriz Riesgo'!AE7=5)," "&amp;'Matriz Riesgo'!A7&amp;","," "),IF(AND('Matriz Riesgo'!Z8=5,'Matriz Riesgo'!AE8=5)," "&amp;'Matriz Riesgo'!A8&amp;","," "),IF(AND('Matriz Riesgo'!Z9=5,'Matriz Riesgo'!AE9=5)," "&amp;'Matriz Riesgo'!A9&amp;","," "),IF(AND('Matriz Riesgo'!Z10=5,'Matriz Riesgo'!AE10=5)," "&amp;'Matriz Riesgo'!A10&amp;","," "),IF(AND('Matriz Riesgo'!Z11=5,'Matriz Riesgo'!AE11=5)," "&amp;'Matriz Riesgo'!A11&amp;","," "),IF(AND('Matriz Riesgo'!Z12=5,'Matriz Riesgo'!AE12=5)," "&amp;'Matriz Riesgo'!A12&amp;","," "),IF(AND('Matriz Riesgo'!Z13=5,'Matriz Riesgo'!AE13=5)," "&amp;'Matriz Riesgo'!A13&amp;","," "),IF(AND('Matriz Riesgo'!Z14=5,'Matriz Riesgo'!AE14=5)," "&amp;'Matriz Riesgo'!A14&amp;","," "),IF(AND('Matriz Riesgo'!Z15=5,'Matriz Riesgo'!AE15=5)," "&amp;'Matriz Riesgo'!A15&amp;","," "),IF(AND('Matriz Riesgo'!Z16=5,'Matriz Riesgo'!AE16=5)," "&amp;'Matriz Riesgo'!A16&amp;","," "),IF(AND('Matriz Riesgo'!Z17=5,'Matriz Riesgo'!AE17=5)," "&amp;'Matriz Riesgo'!A17&amp;","," "),IF(AND('Matriz Riesgo'!Z18=5,'Matriz Riesgo'!AE18=5)," "&amp;'Matriz Riesgo'!A18&amp;","," "),IF(AND('Matriz Riesgo'!Z19=5,'Matriz Riesgo'!AE19=5)," "&amp;'Matriz Riesgo'!A19&amp;","," "),IF(AND('Matriz Riesgo'!Z20=5,'Matriz Riesgo'!AE20=5)," "&amp;'Matriz Riesgo'!A20&amp;","," "),IF(AND('Matriz Riesgo'!Z21=5,'Matriz Riesgo'!AE21=5)," "&amp;'Matriz Riesgo'!A21&amp;","," "),IF(AND('Matriz Riesgo'!Z22=5,'Matriz Riesgo'!AE22=5)," "&amp;'Matriz Riesgo'!A22&amp;","," "),IF(AND('Matriz Riesgo'!Z23=5,'Matriz Riesgo'!AE23=5)," "&amp;'Matriz Riesgo'!A23&amp;","," "),IF(AND('Matriz Riesgo'!Z24=5,'Matriz Riesgo'!AE24=5)," "&amp;'Matriz Riesgo'!A24&amp;","," "),IF(AND('Matriz Riesgo'!Z25=5,'Matriz Riesgo'!AE25=5)," "&amp;'Matriz Riesgo'!A25&amp;","," "),IF(AND('Matriz Riesgo'!Z26=5,'Matriz Riesgo'!AE26=5)," "&amp;'Matriz Riesgo'!A26," "))</f>
        <v xml:space="preserve">                     </v>
      </c>
      <c r="L15" s="12"/>
      <c r="M15" s="12"/>
      <c r="U15">
        <v>4</v>
      </c>
      <c r="V15">
        <v>3</v>
      </c>
      <c r="W15">
        <v>12</v>
      </c>
    </row>
    <row r="16" spans="2:23" ht="18.600000000000001" thickBot="1" x14ac:dyDescent="0.35">
      <c r="B16" s="45">
        <v>4</v>
      </c>
      <c r="C16" s="117"/>
      <c r="D16" s="17" t="s">
        <v>43</v>
      </c>
      <c r="E16" s="5" t="str">
        <f>CONCATENATE(IF(AND('Matriz Riesgo'!Z6=4,'Matriz Riesgo'!AE6=1)," "&amp;'Matriz Riesgo'!A6&amp;","," "),IF(AND('Matriz Riesgo'!Z7=4,'Matriz Riesgo'!AE7=1)," "&amp;'Matriz Riesgo'!A7&amp;","," "),IF(AND('Matriz Riesgo'!Z8=4,'Matriz Riesgo'!AE8=1)," "&amp;'Matriz Riesgo'!A8&amp;","," "),IF(AND('Matriz Riesgo'!Z9=4,'Matriz Riesgo'!AE9=1)," "&amp;'Matriz Riesgo'!A9&amp;","," "),IF(AND('Matriz Riesgo'!Z10=4,'Matriz Riesgo'!AE10=1)," "&amp;'Matriz Riesgo'!A10&amp;","," "),IF(AND('Matriz Riesgo'!Z11=4,'Matriz Riesgo'!AE11=1)," "&amp;'Matriz Riesgo'!A11&amp;","," "),IF(AND('Matriz Riesgo'!Z12=4,'Matriz Riesgo'!AE12=1)," "&amp;'Matriz Riesgo'!A12&amp;","," "),IF(AND('Matriz Riesgo'!Z13=4,'Matriz Riesgo'!AE13=1)," "&amp;'Matriz Riesgo'!A13&amp;","," "),IF(AND('Matriz Riesgo'!Z14=4,'Matriz Riesgo'!AE14=1)," "&amp;'Matriz Riesgo'!A14&amp;","," "),IF(AND('Matriz Riesgo'!Z15=4,'Matriz Riesgo'!AE15=1)," "&amp;'Matriz Riesgo'!A15&amp;","," "),IF(AND('Matriz Riesgo'!Z16=4,'Matriz Riesgo'!AE16=1)," "&amp;'Matriz Riesgo'!A16&amp;","," "),IF(AND('Matriz Riesgo'!Z17=4,'Matriz Riesgo'!AE17=1)," "&amp;'Matriz Riesgo'!A17&amp;","," "),IF(AND('Matriz Riesgo'!Z18=4,'Matriz Riesgo'!AE18=1)," "&amp;'Matriz Riesgo'!A18&amp;","," "),IF(AND('Matriz Riesgo'!Z19=4,'Matriz Riesgo'!AE19=1)," "&amp;'Matriz Riesgo'!A19&amp;","," "),IF(AND('Matriz Riesgo'!Z20=4,'Matriz Riesgo'!AE20=1)," "&amp;'Matriz Riesgo'!A20&amp;","," "),IF(AND('Matriz Riesgo'!Z21=4,'Matriz Riesgo'!AE21=1)," "&amp;'Matriz Riesgo'!A21&amp;","," "),IF(AND('Matriz Riesgo'!Z22=4,'Matriz Riesgo'!AE22=1)," "&amp;'Matriz Riesgo'!A22&amp;","," "),IF(AND('Matriz Riesgo'!Z23=4,'Matriz Riesgo'!AE23=1)," "&amp;'Matriz Riesgo'!A23&amp;","," "),IF(AND('Matriz Riesgo'!Z24=4,'Matriz Riesgo'!AE24=1)," "&amp;'Matriz Riesgo'!A24&amp;","," "),IF(AND('Matriz Riesgo'!Z25=4,'Matriz Riesgo'!AE25=1)," "&amp;'Matriz Riesgo'!A25&amp;","," "),IF(AND('Matriz Riesgo'!Z26=4,'Matriz Riesgo'!AE26=1)," "&amp;'Matriz Riesgo'!A26," "))</f>
        <v xml:space="preserve">                     </v>
      </c>
      <c r="F16" s="6" t="str">
        <f>CONCATENATE(IF(AND('Matriz Riesgo'!Z6=4,'Matriz Riesgo'!AE6=2)," "&amp;'Matriz Riesgo'!A6&amp;","," "),IF(AND('Matriz Riesgo'!Z7=4,'Matriz Riesgo'!AE7=2)," "&amp;'Matriz Riesgo'!A7&amp;","," "),IF(AND('Matriz Riesgo'!Z8=4,'Matriz Riesgo'!AE8=2)," "&amp;'Matriz Riesgo'!A8&amp;","," "),IF(AND('Matriz Riesgo'!Z9=4,'Matriz Riesgo'!AE9=2)," "&amp;'Matriz Riesgo'!A9&amp;","," "),IF(AND('Matriz Riesgo'!Z10=4,'Matriz Riesgo'!AE10=2)," "&amp;'Matriz Riesgo'!A10&amp;","," "),IF(AND('Matriz Riesgo'!Z11=4,'Matriz Riesgo'!AE11=2)," "&amp;'Matriz Riesgo'!A11&amp;","," "),IF(AND('Matriz Riesgo'!Z12=4,'Matriz Riesgo'!AE12=2)," "&amp;'Matriz Riesgo'!A12&amp;","," "),IF(AND('Matriz Riesgo'!Z13=4,'Matriz Riesgo'!AE13=2)," "&amp;'Matriz Riesgo'!A13&amp;","," "),IF(AND('Matriz Riesgo'!Z14=4,'Matriz Riesgo'!AE14=2)," "&amp;'Matriz Riesgo'!A14&amp;","," "),IF(AND('Matriz Riesgo'!Z15=4,'Matriz Riesgo'!AE15=2)," "&amp;'Matriz Riesgo'!A15&amp;","," "),IF(AND('Matriz Riesgo'!Z16=4,'Matriz Riesgo'!AE16=2)," "&amp;'Matriz Riesgo'!A16&amp;","," "),IF(AND('Matriz Riesgo'!Z17=4,'Matriz Riesgo'!AE17=2)," "&amp;'Matriz Riesgo'!A17&amp;","," "),IF(AND('Matriz Riesgo'!Z18=4,'Matriz Riesgo'!AE18=2)," "&amp;'Matriz Riesgo'!A18&amp;","," "),IF(AND('Matriz Riesgo'!Z19=4,'Matriz Riesgo'!AE19=2)," "&amp;'Matriz Riesgo'!A19&amp;","," "),IF(AND('Matriz Riesgo'!Z20=4,'Matriz Riesgo'!AE20=2)," "&amp;'Matriz Riesgo'!A20&amp;","," "),IF(AND('Matriz Riesgo'!Z21=4,'Matriz Riesgo'!AE21=2)," "&amp;'Matriz Riesgo'!A21&amp;","," "),IF(AND('Matriz Riesgo'!Z22=4,'Matriz Riesgo'!AE22=2)," "&amp;'Matriz Riesgo'!A22&amp;","," "),IF(AND('Matriz Riesgo'!Z23=4,'Matriz Riesgo'!AE23=2)," "&amp;'Matriz Riesgo'!A23&amp;","," "),IF(AND('Matriz Riesgo'!Z24=4,'Matriz Riesgo'!AE24=2)," "&amp;'Matriz Riesgo'!A24&amp;","," "),IF(AND('Matriz Riesgo'!Z25=4,'Matriz Riesgo'!AE25=2)," "&amp;'Matriz Riesgo'!A25&amp;","," "),IF(AND('Matriz Riesgo'!Z26=4,'Matriz Riesgo'!AE26=2)," "&amp;'Matriz Riesgo'!A26," "))</f>
        <v xml:space="preserve">                     </v>
      </c>
      <c r="G16" s="7" t="str">
        <f>CONCATENATE(IF(AND('Matriz Riesgo'!Z6=4,'Matriz Riesgo'!AE6=3)," "&amp;'Matriz Riesgo'!A6&amp;","," "),IF(AND('Matriz Riesgo'!Z7=4,'Matriz Riesgo'!AE7=3)," "&amp;'Matriz Riesgo'!A7&amp;","," "),IF(AND('Matriz Riesgo'!Z8=4,'Matriz Riesgo'!AE8=3)," "&amp;'Matriz Riesgo'!A8&amp;","," "),IF(AND('Matriz Riesgo'!Z9=4,'Matriz Riesgo'!AE9=3)," "&amp;'Matriz Riesgo'!A9&amp;","," "),IF(AND('Matriz Riesgo'!Z10=4,'Matriz Riesgo'!AE10=3)," "&amp;'Matriz Riesgo'!A10&amp;","," "),IF(AND('Matriz Riesgo'!Z11=4,'Matriz Riesgo'!AE11=3)," "&amp;'Matriz Riesgo'!A11&amp;","," "),IF(AND('Matriz Riesgo'!Z12=4,'Matriz Riesgo'!AE12=3)," "&amp;'Matriz Riesgo'!A12&amp;","," "),IF(AND('Matriz Riesgo'!Z13=4,'Matriz Riesgo'!AE13=3)," "&amp;'Matriz Riesgo'!A13&amp;","," "),IF(AND('Matriz Riesgo'!Z14=4,'Matriz Riesgo'!AE14=3)," "&amp;'Matriz Riesgo'!A14&amp;","," "),IF(AND('Matriz Riesgo'!Z15=4,'Matriz Riesgo'!AE15=3)," "&amp;'Matriz Riesgo'!A15&amp;","," "),IF(AND('Matriz Riesgo'!Z16=4,'Matriz Riesgo'!AE16=3)," "&amp;'Matriz Riesgo'!A16&amp;","," "),IF(AND('Matriz Riesgo'!Z17=4,'Matriz Riesgo'!AE17=3)," "&amp;'Matriz Riesgo'!A17&amp;","," "),IF(AND('Matriz Riesgo'!Z18=4,'Matriz Riesgo'!AE18=3)," "&amp;'Matriz Riesgo'!A18&amp;","," "),IF(AND('Matriz Riesgo'!Z19=4,'Matriz Riesgo'!AE19=3)," "&amp;'Matriz Riesgo'!A19&amp;","," "),IF(AND('Matriz Riesgo'!Z20=4,'Matriz Riesgo'!AE20=3)," "&amp;'Matriz Riesgo'!A20&amp;","," "),IF(AND('Matriz Riesgo'!Z21=4,'Matriz Riesgo'!AE21=3)," "&amp;'Matriz Riesgo'!A21&amp;","," "),IF(AND('Matriz Riesgo'!Z22=4,'Matriz Riesgo'!AE22=3)," "&amp;'Matriz Riesgo'!A22&amp;","," "),IF(AND('Matriz Riesgo'!Z23=4,'Matriz Riesgo'!AE23=3)," "&amp;'Matriz Riesgo'!A23&amp;","," "),IF(AND('Matriz Riesgo'!Z24=4,'Matriz Riesgo'!AE24=3)," "&amp;'Matriz Riesgo'!A24&amp;","," "),IF(AND('Matriz Riesgo'!Z25=4,'Matriz Riesgo'!AE25=3)," "&amp;'Matriz Riesgo'!A25&amp;","," "),IF(AND('Matriz Riesgo'!Z26=4,'Matriz Riesgo'!AE26=3)," "&amp;'Matriz Riesgo'!A26," "))</f>
        <v xml:space="preserve">                     </v>
      </c>
      <c r="H16" s="8" t="str">
        <f>CONCATENATE(IF(AND('Matriz Riesgo'!Z6=4,'Matriz Riesgo'!AE6=4)," "&amp;'Matriz Riesgo'!A6&amp;","," "),IF(AND('Matriz Riesgo'!Z7=4,'Matriz Riesgo'!AE7=4)," "&amp;'Matriz Riesgo'!A7&amp;","," "),IF(AND('Matriz Riesgo'!Z8=4,'Matriz Riesgo'!AE8=4)," "&amp;'Matriz Riesgo'!A8&amp;","," "),IF(AND('Matriz Riesgo'!Z9=4,'Matriz Riesgo'!AE9=4)," "&amp;'Matriz Riesgo'!A9&amp;","," "),IF(AND('Matriz Riesgo'!Z10=4,'Matriz Riesgo'!AE10=4)," "&amp;'Matriz Riesgo'!A10&amp;","," "),IF(AND('Matriz Riesgo'!Z11=4,'Matriz Riesgo'!AE11=4)," "&amp;'Matriz Riesgo'!A11&amp;","," "),IF(AND('Matriz Riesgo'!Z12=4,'Matriz Riesgo'!AE12=4)," "&amp;'Matriz Riesgo'!A12&amp;","," "),IF(AND('Matriz Riesgo'!Z13=4,'Matriz Riesgo'!AE13=4)," "&amp;'Matriz Riesgo'!A13&amp;","," "),IF(AND('Matriz Riesgo'!Z14=4,'Matriz Riesgo'!AE14=4)," "&amp;'Matriz Riesgo'!A14&amp;","," "),IF(AND('Matriz Riesgo'!Z15=4,'Matriz Riesgo'!AE15=4)," "&amp;'Matriz Riesgo'!A15&amp;","," "),IF(AND('Matriz Riesgo'!Z16=4,'Matriz Riesgo'!AE16=4)," "&amp;'Matriz Riesgo'!A16&amp;","," "),IF(AND('Matriz Riesgo'!Z17=4,'Matriz Riesgo'!AE17=4)," "&amp;'Matriz Riesgo'!A17&amp;","," "),IF(AND('Matriz Riesgo'!Z18=4,'Matriz Riesgo'!AE18=4)," "&amp;'Matriz Riesgo'!A18&amp;","," "),IF(AND('Matriz Riesgo'!Z19=4,'Matriz Riesgo'!AE19=4)," "&amp;'Matriz Riesgo'!A19&amp;","," "),IF(AND('Matriz Riesgo'!Z20=4,'Matriz Riesgo'!AE20=4)," "&amp;'Matriz Riesgo'!A20&amp;","," "),IF(AND('Matriz Riesgo'!Z21=4,'Matriz Riesgo'!AE21=4)," "&amp;'Matriz Riesgo'!A21&amp;","," "),IF(AND('Matriz Riesgo'!Z22=4,'Matriz Riesgo'!AE22=4)," "&amp;'Matriz Riesgo'!A22&amp;","," "),IF(AND('Matriz Riesgo'!Z23=4,'Matriz Riesgo'!AE23=4)," "&amp;'Matriz Riesgo'!A23&amp;","," "),IF(AND('Matriz Riesgo'!Z24=4,'Matriz Riesgo'!AE24=4)," "&amp;'Matriz Riesgo'!A24&amp;","," "),IF(AND('Matriz Riesgo'!Z25=4,'Matriz Riesgo'!AE25=4)," "&amp;'Matriz Riesgo'!A25&amp;","," "),IF(AND('Matriz Riesgo'!Z26=4,'Matriz Riesgo'!AE26=4)," "&amp;'Matriz Riesgo'!A26," "))</f>
        <v xml:space="preserve">                     </v>
      </c>
      <c r="I16" s="8" t="str">
        <f>CONCATENATE(IF(AND('Matriz Riesgo'!Z6=4,'Matriz Riesgo'!AE6=5)," "&amp;'Matriz Riesgo'!A6&amp;","," "),IF(AND('Matriz Riesgo'!Z7=4,'Matriz Riesgo'!AE7=5)," "&amp;'Matriz Riesgo'!A7&amp;","," "),IF(AND('Matriz Riesgo'!Z8=4,'Matriz Riesgo'!AE8=5)," "&amp;'Matriz Riesgo'!A8&amp;","," "),IF(AND('Matriz Riesgo'!Z9=4,'Matriz Riesgo'!AE9=5)," "&amp;'Matriz Riesgo'!A9&amp;","," "),IF(AND('Matriz Riesgo'!Z10=4,'Matriz Riesgo'!AE10=5)," "&amp;'Matriz Riesgo'!A10&amp;","," "),IF(AND('Matriz Riesgo'!Z11=4,'Matriz Riesgo'!AE11=5)," "&amp;'Matriz Riesgo'!A11&amp;","," "),IF(AND('Matriz Riesgo'!Z12=4,'Matriz Riesgo'!AE12=5)," "&amp;'Matriz Riesgo'!A12&amp;","," "),IF(AND('Matriz Riesgo'!Z13=4,'Matriz Riesgo'!AE13=5)," "&amp;'Matriz Riesgo'!A13&amp;","," "),IF(AND('Matriz Riesgo'!Z14=4,'Matriz Riesgo'!AE14=5)," "&amp;'Matriz Riesgo'!A14&amp;","," "),IF(AND('Matriz Riesgo'!Z15=4,'Matriz Riesgo'!AE15=5)," "&amp;'Matriz Riesgo'!A15&amp;","," "),IF(AND('Matriz Riesgo'!Z16=4,'Matriz Riesgo'!AE16=5)," "&amp;'Matriz Riesgo'!A16&amp;","," "),IF(AND('Matriz Riesgo'!Z17=4,'Matriz Riesgo'!AE17=5)," "&amp;'Matriz Riesgo'!A17&amp;","," "),IF(AND('Matriz Riesgo'!Z18=4,'Matriz Riesgo'!AE18=5)," "&amp;'Matriz Riesgo'!A18&amp;","," "),IF(AND('Matriz Riesgo'!Z19=4,'Matriz Riesgo'!AE19=5)," "&amp;'Matriz Riesgo'!A19&amp;","," "),IF(AND('Matriz Riesgo'!Z20=4,'Matriz Riesgo'!AE20=5)," "&amp;'Matriz Riesgo'!A20&amp;","," "),IF(AND('Matriz Riesgo'!Z21=4,'Matriz Riesgo'!AE21=5)," "&amp;'Matriz Riesgo'!A21&amp;","," "),IF(AND('Matriz Riesgo'!Z22=4,'Matriz Riesgo'!AE22=5)," "&amp;'Matriz Riesgo'!A22&amp;","," "),IF(AND('Matriz Riesgo'!Z23=4,'Matriz Riesgo'!AE23=5)," "&amp;'Matriz Riesgo'!A23&amp;","," "),IF(AND('Matriz Riesgo'!Z24=4,'Matriz Riesgo'!AE24=5)," "&amp;'Matriz Riesgo'!A24&amp;","," "),IF(AND('Matriz Riesgo'!Z25=4,'Matriz Riesgo'!AE25=5)," "&amp;'Matriz Riesgo'!A25&amp;","," "),IF(AND('Matriz Riesgo'!Z26=4,'Matriz Riesgo'!AE26=5)," "&amp;'Matriz Riesgo'!A26," "))</f>
        <v xml:space="preserve">                     </v>
      </c>
      <c r="L16" s="12"/>
      <c r="M16" s="12"/>
      <c r="U16">
        <v>3</v>
      </c>
      <c r="V16">
        <v>3</v>
      </c>
      <c r="W16">
        <v>9</v>
      </c>
    </row>
    <row r="17" spans="2:23" ht="18.600000000000001" thickBot="1" x14ac:dyDescent="0.35">
      <c r="B17" s="45">
        <v>3</v>
      </c>
      <c r="C17" s="117"/>
      <c r="D17" s="17" t="s">
        <v>44</v>
      </c>
      <c r="E17" s="5" t="str">
        <f>CONCATENATE(IF(AND('Matriz Riesgo'!Z6=3,'Matriz Riesgo'!AE6=1)," "&amp;'Matriz Riesgo'!A6&amp;","," "),IF(AND('Matriz Riesgo'!Z7=3,'Matriz Riesgo'!AE7=1)," "&amp;'Matriz Riesgo'!A7&amp;","," "),IF(AND('Matriz Riesgo'!Z8=3,'Matriz Riesgo'!AE8=1)," "&amp;'Matriz Riesgo'!A8&amp;","," "),IF(AND('Matriz Riesgo'!Z9=3,'Matriz Riesgo'!AE9=1)," "&amp;'Matriz Riesgo'!A9&amp;","," "),IF(AND('Matriz Riesgo'!Z10=3,'Matriz Riesgo'!AE10=1)," "&amp;'Matriz Riesgo'!A10&amp;","," "),IF(AND('Matriz Riesgo'!Z11=3,'Matriz Riesgo'!AE11=1)," "&amp;'Matriz Riesgo'!A11&amp;","," "),IF(AND('Matriz Riesgo'!Z12=3,'Matriz Riesgo'!AE12=1)," "&amp;'Matriz Riesgo'!A12&amp;","," "),IF(AND('Matriz Riesgo'!Z13=3,'Matriz Riesgo'!AE13=1)," "&amp;'Matriz Riesgo'!A13&amp;","," "),IF(AND('Matriz Riesgo'!Z14=3,'Matriz Riesgo'!AE14=1)," "&amp;'Matriz Riesgo'!A14&amp;","," "),IF(AND('Matriz Riesgo'!Z15=3,'Matriz Riesgo'!AE15=1)," "&amp;'Matriz Riesgo'!A15&amp;","," "),IF(AND('Matriz Riesgo'!Z16=3,'Matriz Riesgo'!AE16=1)," "&amp;'Matriz Riesgo'!A16&amp;","," "),IF(AND('Matriz Riesgo'!Z17=3,'Matriz Riesgo'!AE17=1)," "&amp;'Matriz Riesgo'!A17&amp;","," "),IF(AND('Matriz Riesgo'!Z18=3,'Matriz Riesgo'!AE18=1)," "&amp;'Matriz Riesgo'!A18&amp;","," "),IF(AND('Matriz Riesgo'!Z19=3,'Matriz Riesgo'!AE19=1)," "&amp;'Matriz Riesgo'!A19&amp;","," "),IF(AND('Matriz Riesgo'!Z20=3,'Matriz Riesgo'!AE20=1)," "&amp;'Matriz Riesgo'!A20&amp;","," "),IF(AND('Matriz Riesgo'!Z21=3,'Matriz Riesgo'!AE21=1)," "&amp;'Matriz Riesgo'!A21&amp;","," "),IF(AND('Matriz Riesgo'!Z22=3,'Matriz Riesgo'!AE22=1)," "&amp;'Matriz Riesgo'!A22&amp;","," "),IF(AND('Matriz Riesgo'!Z23=3,'Matriz Riesgo'!AE23=1)," "&amp;'Matriz Riesgo'!A23&amp;","," "),IF(AND('Matriz Riesgo'!Z24=3,'Matriz Riesgo'!AE24=1)," "&amp;'Matriz Riesgo'!A24&amp;","," "),IF(AND('Matriz Riesgo'!Z25=3,'Matriz Riesgo'!AE25=1)," "&amp;'Matriz Riesgo'!A25&amp;","," "),IF(AND('Matriz Riesgo'!Z26=3,'Matriz Riesgo'!AE26=1)," "&amp;'Matriz Riesgo'!A26," "))</f>
        <v xml:space="preserve">                     </v>
      </c>
      <c r="F17" s="6" t="str">
        <f>CONCATENATE(IF(AND('Matriz Riesgo'!Z6=3,'Matriz Riesgo'!AE6=2)," "&amp;'Matriz Riesgo'!A6&amp;","," "),IF(AND('Matriz Riesgo'!Z7=3,'Matriz Riesgo'!AE7=2)," "&amp;'Matriz Riesgo'!A7&amp;","," "),IF(AND('Matriz Riesgo'!Z8=3,'Matriz Riesgo'!AE8=2)," "&amp;'Matriz Riesgo'!A8&amp;","," "),IF(AND('Matriz Riesgo'!Z9=3,'Matriz Riesgo'!AE9=2)," "&amp;'Matriz Riesgo'!A9&amp;","," "),IF(AND('Matriz Riesgo'!Z10=3,'Matriz Riesgo'!AE10=2)," "&amp;'Matriz Riesgo'!A10&amp;","," "),IF(AND('Matriz Riesgo'!Z11=3,'Matriz Riesgo'!AE11=2)," "&amp;'Matriz Riesgo'!A11&amp;","," "),IF(AND('Matriz Riesgo'!Z12=3,'Matriz Riesgo'!AE12=2)," "&amp;'Matriz Riesgo'!A12&amp;","," "),IF(AND('Matriz Riesgo'!Z13=3,'Matriz Riesgo'!AE13=2)," "&amp;'Matriz Riesgo'!A13&amp;","," "),IF(AND('Matriz Riesgo'!Z14=3,'Matriz Riesgo'!AE14=2)," "&amp;'Matriz Riesgo'!A14&amp;","," "),IF(AND('Matriz Riesgo'!Z15=3,'Matriz Riesgo'!AE15=2)," "&amp;'Matriz Riesgo'!A15&amp;","," "),IF(AND('Matriz Riesgo'!Z16=3,'Matriz Riesgo'!AE16=2)," "&amp;'Matriz Riesgo'!A16&amp;","," "),IF(AND('Matriz Riesgo'!Z17=3,'Matriz Riesgo'!AE17=2)," "&amp;'Matriz Riesgo'!A17&amp;","," "),IF(AND('Matriz Riesgo'!Z18=3,'Matriz Riesgo'!AE18=2)," "&amp;'Matriz Riesgo'!A18&amp;","," "),IF(AND('Matriz Riesgo'!Z19=3,'Matriz Riesgo'!AE19=2)," "&amp;'Matriz Riesgo'!A19&amp;","," "),IF(AND('Matriz Riesgo'!Z20=3,'Matriz Riesgo'!AE20=2)," "&amp;'Matriz Riesgo'!A20&amp;","," "),IF(AND('Matriz Riesgo'!Z21=3,'Matriz Riesgo'!AE21=2)," "&amp;'Matriz Riesgo'!A21&amp;","," "),IF(AND('Matriz Riesgo'!Z22=3,'Matriz Riesgo'!AE22=2)," "&amp;'Matriz Riesgo'!A22&amp;","," "),IF(AND('Matriz Riesgo'!Z23=3,'Matriz Riesgo'!AE23=2)," "&amp;'Matriz Riesgo'!A23&amp;","," "),IF(AND('Matriz Riesgo'!Z24=3,'Matriz Riesgo'!AE24=2)," "&amp;'Matriz Riesgo'!A24&amp;","," "),IF(AND('Matriz Riesgo'!Z25=3,'Matriz Riesgo'!AE25=2)," "&amp;'Matriz Riesgo'!A25&amp;","," "),IF(AND('Matriz Riesgo'!Z26=3,'Matriz Riesgo'!AE26=2)," "&amp;'Matriz Riesgo'!A26," "))</f>
        <v xml:space="preserve">        8,             </v>
      </c>
      <c r="G17" s="6" t="str">
        <f>CONCATENATE(IF(AND('Matriz Riesgo'!Z6=3,'Matriz Riesgo'!AE6=3)," "&amp;'Matriz Riesgo'!A6&amp;","," "),IF(AND('Matriz Riesgo'!Z7=3,'Matriz Riesgo'!AE7=3)," "&amp;'Matriz Riesgo'!A7&amp;","," "),IF(AND('Matriz Riesgo'!Z8=3,'Matriz Riesgo'!AE8=3)," "&amp;'Matriz Riesgo'!A8&amp;","," "),IF(AND('Matriz Riesgo'!Z9=3,'Matriz Riesgo'!AE9=3)," "&amp;'Matriz Riesgo'!A9&amp;","," "),IF(AND('Matriz Riesgo'!Z10=3,'Matriz Riesgo'!AE10=3)," "&amp;'Matriz Riesgo'!A10&amp;","," "),IF(AND('Matriz Riesgo'!Z11=3,'Matriz Riesgo'!AE11=3)," "&amp;'Matriz Riesgo'!A11&amp;","," "),IF(AND('Matriz Riesgo'!Z12=3,'Matriz Riesgo'!AE12=3)," "&amp;'Matriz Riesgo'!A12&amp;","," "),IF(AND('Matriz Riesgo'!Z13=3,'Matriz Riesgo'!AE13=3)," "&amp;'Matriz Riesgo'!A13&amp;","," "),IF(AND('Matriz Riesgo'!Z14=3,'Matriz Riesgo'!AE14=3)," "&amp;'Matriz Riesgo'!A14&amp;","," "),IF(AND('Matriz Riesgo'!Z15=3,'Matriz Riesgo'!AE15=3)," "&amp;'Matriz Riesgo'!A15&amp;","," "),IF(AND('Matriz Riesgo'!Z16=3,'Matriz Riesgo'!AE16=3)," "&amp;'Matriz Riesgo'!A16&amp;","," "),IF(AND('Matriz Riesgo'!Z17=3,'Matriz Riesgo'!AE17=3)," "&amp;'Matriz Riesgo'!A17&amp;","," "),IF(AND('Matriz Riesgo'!Z18=3,'Matriz Riesgo'!AE18=3)," "&amp;'Matriz Riesgo'!A18&amp;","," "),IF(AND('Matriz Riesgo'!Z19=3,'Matriz Riesgo'!AE19=3)," "&amp;'Matriz Riesgo'!A19&amp;","," "),IF(AND('Matriz Riesgo'!Z20=3,'Matriz Riesgo'!AE20=3)," "&amp;'Matriz Riesgo'!A20&amp;","," "),IF(AND('Matriz Riesgo'!Z21=3,'Matriz Riesgo'!AE21=3)," "&amp;'Matriz Riesgo'!A21&amp;","," "),IF(AND('Matriz Riesgo'!Z22=3,'Matriz Riesgo'!AE22=3)," "&amp;'Matriz Riesgo'!A22&amp;","," "),IF(AND('Matriz Riesgo'!Z23=3,'Matriz Riesgo'!AE23=3)," "&amp;'Matriz Riesgo'!A23&amp;","," "),IF(AND('Matriz Riesgo'!Z24=3,'Matriz Riesgo'!AE24=3)," "&amp;'Matriz Riesgo'!A24&amp;","," "),IF(AND('Matriz Riesgo'!Z25=3,'Matriz Riesgo'!AE25=3)," "&amp;'Matriz Riesgo'!A25&amp;","," "),IF(AND('Matriz Riesgo'!Z26=3,'Matriz Riesgo'!AE26=3)," "&amp;'Matriz Riesgo'!A26," "))</f>
        <v xml:space="preserve">                     </v>
      </c>
      <c r="H17" s="7" t="str">
        <f>CONCATENATE(IF(AND('Matriz Riesgo'!Z6=3,'Matriz Riesgo'!AE6=4)," "&amp;'Matriz Riesgo'!A6&amp;","," "),IF(AND('Matriz Riesgo'!Z7=3,'Matriz Riesgo'!AE7=4)," "&amp;'Matriz Riesgo'!A7&amp;","," "),IF(AND('Matriz Riesgo'!Z8=3,'Matriz Riesgo'!AE8=4)," "&amp;'Matriz Riesgo'!A8&amp;","," "),IF(AND('Matriz Riesgo'!Z9=3,'Matriz Riesgo'!AE9=4)," "&amp;'Matriz Riesgo'!A9&amp;","," "),IF(AND('Matriz Riesgo'!Z10=3,'Matriz Riesgo'!AE10=4)," "&amp;'Matriz Riesgo'!A10&amp;","," "),IF(AND('Matriz Riesgo'!Z11=3,'Matriz Riesgo'!AE11=4)," "&amp;'Matriz Riesgo'!A11&amp;","," "),IF(AND('Matriz Riesgo'!Z12=3,'Matriz Riesgo'!AE12=4)," "&amp;'Matriz Riesgo'!A12&amp;","," "),IF(AND('Matriz Riesgo'!Z13=3,'Matriz Riesgo'!AE13=4)," "&amp;'Matriz Riesgo'!A13&amp;","," "),IF(AND('Matriz Riesgo'!Z14=3,'Matriz Riesgo'!AE14=4)," "&amp;'Matriz Riesgo'!A14&amp;","," "),IF(AND('Matriz Riesgo'!Z15=3,'Matriz Riesgo'!AE15=4)," "&amp;'Matriz Riesgo'!A15&amp;","," "),IF(AND('Matriz Riesgo'!Z16=3,'Matriz Riesgo'!AE16=4)," "&amp;'Matriz Riesgo'!A16&amp;","," "),IF(AND('Matriz Riesgo'!Z17=3,'Matriz Riesgo'!AE17=4)," "&amp;'Matriz Riesgo'!A17&amp;","," "),IF(AND('Matriz Riesgo'!Z18=3,'Matriz Riesgo'!AE18=4)," "&amp;'Matriz Riesgo'!A18&amp;","," "),IF(AND('Matriz Riesgo'!Z19=3,'Matriz Riesgo'!AE19=4)," "&amp;'Matriz Riesgo'!A19&amp;","," "),IF(AND('Matriz Riesgo'!Z20=3,'Matriz Riesgo'!AE20=4)," "&amp;'Matriz Riesgo'!A20&amp;","," "),IF(AND('Matriz Riesgo'!Z21=3,'Matriz Riesgo'!AE21=4)," "&amp;'Matriz Riesgo'!A21&amp;","," "),IF(AND('Matriz Riesgo'!Z22=3,'Matriz Riesgo'!AE22=4)," "&amp;'Matriz Riesgo'!A22&amp;","," "),IF(AND('Matriz Riesgo'!Z23=3,'Matriz Riesgo'!AE23=4)," "&amp;'Matriz Riesgo'!A23&amp;","," "),IF(AND('Matriz Riesgo'!Z24=3,'Matriz Riesgo'!AE24=4)," "&amp;'Matriz Riesgo'!A24&amp;","," "),IF(AND('Matriz Riesgo'!Z25=3,'Matriz Riesgo'!AE25=4)," "&amp;'Matriz Riesgo'!A25&amp;","," "),IF(AND('Matriz Riesgo'!Z26=3,'Matriz Riesgo'!AE26=4)," "&amp;'Matriz Riesgo'!A26," "))</f>
        <v xml:space="preserve">                     </v>
      </c>
      <c r="I17" s="7" t="str">
        <f>CONCATENATE(IF(AND('Matriz Riesgo'!Z6=3,'Matriz Riesgo'!AE6=5)," "&amp;'Matriz Riesgo'!A6&amp;","," "),IF(AND('Matriz Riesgo'!Z7=3,'Matriz Riesgo'!AE7=5)," "&amp;'Matriz Riesgo'!A7&amp;","," "),IF(AND('Matriz Riesgo'!Z8=3,'Matriz Riesgo'!AE8=5)," "&amp;'Matriz Riesgo'!A8&amp;","," "),IF(AND('Matriz Riesgo'!Z9=3,'Matriz Riesgo'!AE9=5)," "&amp;'Matriz Riesgo'!A9&amp;","," "),IF(AND('Matriz Riesgo'!Z10=3,'Matriz Riesgo'!AE10=5)," "&amp;'Matriz Riesgo'!A10&amp;","," "),IF(AND('Matriz Riesgo'!Z11=3,'Matriz Riesgo'!AE11=5)," "&amp;'Matriz Riesgo'!A11&amp;","," "),IF(AND('Matriz Riesgo'!Z12=3,'Matriz Riesgo'!AE12=5)," "&amp;'Matriz Riesgo'!A12&amp;","," "),IF(AND('Matriz Riesgo'!Z13=3,'Matriz Riesgo'!AE13=5)," "&amp;'Matriz Riesgo'!A13&amp;","," "),IF(AND('Matriz Riesgo'!Z14=3,'Matriz Riesgo'!AE14=5)," "&amp;'Matriz Riesgo'!A14&amp;","," "),IF(AND('Matriz Riesgo'!Z15=3,'Matriz Riesgo'!AE15=5)," "&amp;'Matriz Riesgo'!A15&amp;","," "),IF(AND('Matriz Riesgo'!Z16=3,'Matriz Riesgo'!AE16=5)," "&amp;'Matriz Riesgo'!A16&amp;","," "),IF(AND('Matriz Riesgo'!Z17=3,'Matriz Riesgo'!AE17=5)," "&amp;'Matriz Riesgo'!A17&amp;","," "),IF(AND('Matriz Riesgo'!Z18=3,'Matriz Riesgo'!AE18=5)," "&amp;'Matriz Riesgo'!A18&amp;","," "),IF(AND('Matriz Riesgo'!Z19=3,'Matriz Riesgo'!AE19=5)," "&amp;'Matriz Riesgo'!A19&amp;","," "),IF(AND('Matriz Riesgo'!Z20=3,'Matriz Riesgo'!AE20=5)," "&amp;'Matriz Riesgo'!A20&amp;","," "),IF(AND('Matriz Riesgo'!Z21=3,'Matriz Riesgo'!AE21=5)," "&amp;'Matriz Riesgo'!A21&amp;","," "),IF(AND('Matriz Riesgo'!Z22=3,'Matriz Riesgo'!AE22=5)," "&amp;'Matriz Riesgo'!A22&amp;","," "),IF(AND('Matriz Riesgo'!Z23=3,'Matriz Riesgo'!AE23=5)," "&amp;'Matriz Riesgo'!A23&amp;","," "),IF(AND('Matriz Riesgo'!Z24=3,'Matriz Riesgo'!AE24=5)," "&amp;'Matriz Riesgo'!A24&amp;","," "),IF(AND('Matriz Riesgo'!Z25=3,'Matriz Riesgo'!AE25=5)," "&amp;'Matriz Riesgo'!A25&amp;","," "),IF(AND('Matriz Riesgo'!Z26=3,'Matriz Riesgo'!AE26=5)," "&amp;'Matriz Riesgo'!A26," "))</f>
        <v xml:space="preserve">                     </v>
      </c>
      <c r="L17" s="12"/>
      <c r="M17" s="12"/>
      <c r="U17">
        <v>2</v>
      </c>
      <c r="V17">
        <v>3</v>
      </c>
      <c r="W17">
        <v>6</v>
      </c>
    </row>
    <row r="18" spans="2:23" ht="18.600000000000001" thickBot="1" x14ac:dyDescent="0.35">
      <c r="B18" s="45">
        <v>2</v>
      </c>
      <c r="C18" s="117"/>
      <c r="D18" s="17" t="s">
        <v>45</v>
      </c>
      <c r="E18" s="9" t="str">
        <f>CONCATENATE(IF(AND('Matriz Riesgo'!Z6=2,'Matriz Riesgo'!AE6=1)," "&amp;'Matriz Riesgo'!A6&amp;","," "),IF(AND('Matriz Riesgo'!Z7=2,'Matriz Riesgo'!AE7=1)," "&amp;'Matriz Riesgo'!A7&amp;","," "),IF(AND('Matriz Riesgo'!Z8=2,'Matriz Riesgo'!AE8=1)," "&amp;'Matriz Riesgo'!A8&amp;","," "),IF(AND('Matriz Riesgo'!Z9=2,'Matriz Riesgo'!AE9=1)," "&amp;'Matriz Riesgo'!A9&amp;","," "),IF(AND('Matriz Riesgo'!Z10=2,'Matriz Riesgo'!AE10=1)," "&amp;'Matriz Riesgo'!A10&amp;","," "),IF(AND('Matriz Riesgo'!Z11=2,'Matriz Riesgo'!AE11=1)," "&amp;'Matriz Riesgo'!A11&amp;","," "),IF(AND('Matriz Riesgo'!Z12=2,'Matriz Riesgo'!AE12=1)," "&amp;'Matriz Riesgo'!A12&amp;","," "),IF(AND('Matriz Riesgo'!Z13=2,'Matriz Riesgo'!AE13=1)," "&amp;'Matriz Riesgo'!A13&amp;","," "),IF(AND('Matriz Riesgo'!Z14=2,'Matriz Riesgo'!AE14=1)," "&amp;'Matriz Riesgo'!A14&amp;","," "),IF(AND('Matriz Riesgo'!Z15=2,'Matriz Riesgo'!AE15=1)," "&amp;'Matriz Riesgo'!A15&amp;","," "),IF(AND('Matriz Riesgo'!Z16=2,'Matriz Riesgo'!AE16=1)," "&amp;'Matriz Riesgo'!A16&amp;","," "),IF(AND('Matriz Riesgo'!Z17=2,'Matriz Riesgo'!AE17=1)," "&amp;'Matriz Riesgo'!A17&amp;","," "),IF(AND('Matriz Riesgo'!Z18=2,'Matriz Riesgo'!AE18=1)," "&amp;'Matriz Riesgo'!A18&amp;","," "),IF(AND('Matriz Riesgo'!Z19=2,'Matriz Riesgo'!AE19=1)," "&amp;'Matriz Riesgo'!A19&amp;","," "),IF(AND('Matriz Riesgo'!Z20=2,'Matriz Riesgo'!AE20=1)," "&amp;'Matriz Riesgo'!A20&amp;","," "),IF(AND('Matriz Riesgo'!Z21=2,'Matriz Riesgo'!AE21=1)," "&amp;'Matriz Riesgo'!A21&amp;","," "),IF(AND('Matriz Riesgo'!Z22=2,'Matriz Riesgo'!AE22=1)," "&amp;'Matriz Riesgo'!A22&amp;","," "),IF(AND('Matriz Riesgo'!Z23=2,'Matriz Riesgo'!AE23=1)," "&amp;'Matriz Riesgo'!A23&amp;","," "),IF(AND('Matriz Riesgo'!Z24=2,'Matriz Riesgo'!AE24=1)," "&amp;'Matriz Riesgo'!A24&amp;","," "),IF(AND('Matriz Riesgo'!Z25=2,'Matriz Riesgo'!AE25=1)," "&amp;'Matriz Riesgo'!A25&amp;","," "),IF(AND('Matriz Riesgo'!Z26=2,'Matriz Riesgo'!AE26=1)," "&amp;'Matriz Riesgo'!A26," "))</f>
        <v xml:space="preserve">                     </v>
      </c>
      <c r="F18" s="5" t="str">
        <f>CONCATENATE(IF(AND('Matriz Riesgo'!Z6=2,'Matriz Riesgo'!AE6=2)," "&amp;'Matriz Riesgo'!A6&amp;","," "),IF(AND('Matriz Riesgo'!Z7=2,'Matriz Riesgo'!AE7=2)," "&amp;'Matriz Riesgo'!A7&amp;","," "),IF(AND('Matriz Riesgo'!Z8=2,'Matriz Riesgo'!AE8=2)," "&amp;'Matriz Riesgo'!A8&amp;","," "),IF(AND('Matriz Riesgo'!Z9=2,'Matriz Riesgo'!AE9=2)," "&amp;'Matriz Riesgo'!A9&amp;","," "),IF(AND('Matriz Riesgo'!Z10=2,'Matriz Riesgo'!AE10=2)," "&amp;'Matriz Riesgo'!A10&amp;","," "),IF(AND('Matriz Riesgo'!Z11=2,'Matriz Riesgo'!AE11=2)," "&amp;'Matriz Riesgo'!A11&amp;","," "),IF(AND('Matriz Riesgo'!Z12=2,'Matriz Riesgo'!AE12=2)," "&amp;'Matriz Riesgo'!A12&amp;","," "),IF(AND('Matriz Riesgo'!Z13=2,'Matriz Riesgo'!AE13=2)," "&amp;'Matriz Riesgo'!A13&amp;","," "),IF(AND('Matriz Riesgo'!Z14=2,'Matriz Riesgo'!AE14=2)," "&amp;'Matriz Riesgo'!A14&amp;","," "),IF(AND('Matriz Riesgo'!Z15=2,'Matriz Riesgo'!AE15=2)," "&amp;'Matriz Riesgo'!A15&amp;","," "),IF(AND('Matriz Riesgo'!Z16=2,'Matriz Riesgo'!AE16=2)," "&amp;'Matriz Riesgo'!A16&amp;","," "),IF(AND('Matriz Riesgo'!Z17=2,'Matriz Riesgo'!AE17=2)," "&amp;'Matriz Riesgo'!A17&amp;","," "),IF(AND('Matriz Riesgo'!Z18=2,'Matriz Riesgo'!AE18=2)," "&amp;'Matriz Riesgo'!A18&amp;","," "),IF(AND('Matriz Riesgo'!Z19=2,'Matriz Riesgo'!AE19=2)," "&amp;'Matriz Riesgo'!A19&amp;","," "),IF(AND('Matriz Riesgo'!Z20=2,'Matriz Riesgo'!AE20=2)," "&amp;'Matriz Riesgo'!A20&amp;","," "),IF(AND('Matriz Riesgo'!Z21=2,'Matriz Riesgo'!AE21=2)," "&amp;'Matriz Riesgo'!A21&amp;","," "),IF(AND('Matriz Riesgo'!Z22=2,'Matriz Riesgo'!AE22=2)," "&amp;'Matriz Riesgo'!A22&amp;","," "),IF(AND('Matriz Riesgo'!Z23=2,'Matriz Riesgo'!AE23=2)," "&amp;'Matriz Riesgo'!A23&amp;","," "),IF(AND('Matriz Riesgo'!Z24=2,'Matriz Riesgo'!AE24=2)," "&amp;'Matriz Riesgo'!A24&amp;","," "),IF(AND('Matriz Riesgo'!Z25=2,'Matriz Riesgo'!AE25=2)," "&amp;'Matriz Riesgo'!A25&amp;","," "),IF(AND('Matriz Riesgo'!Z26=2,'Matriz Riesgo'!AE26=2)," "&amp;'Matriz Riesgo'!A26," "))</f>
        <v xml:space="preserve">    4,  6, 7,   10,           </v>
      </c>
      <c r="G18" s="46" t="str">
        <f>CONCATENATE(IF(AND('Matriz Riesgo'!Z6=2,'Matriz Riesgo'!AE6=3)," "&amp;'Matriz Riesgo'!A6&amp;","," "),IF(AND('Matriz Riesgo'!Z7=2,'Matriz Riesgo'!AE7=3)," "&amp;'Matriz Riesgo'!A7&amp;","," "),IF(AND('Matriz Riesgo'!Z8=2,'Matriz Riesgo'!AE8=3)," "&amp;'Matriz Riesgo'!A8&amp;","," "),IF(AND('Matriz Riesgo'!Z9=2,'Matriz Riesgo'!AE9=3)," "&amp;'Matriz Riesgo'!A9&amp;","," "),IF(AND('Matriz Riesgo'!Z10=2,'Matriz Riesgo'!AE10=3)," "&amp;'Matriz Riesgo'!A10&amp;","," "),IF(AND('Matriz Riesgo'!Z11=2,'Matriz Riesgo'!AE11=3)," "&amp;'Matriz Riesgo'!A11&amp;","," "),IF(AND('Matriz Riesgo'!Z12=2,'Matriz Riesgo'!AE12=3)," "&amp;'Matriz Riesgo'!A12&amp;","," "),IF(AND('Matriz Riesgo'!Z13=2,'Matriz Riesgo'!AE13=3)," "&amp;'Matriz Riesgo'!A13&amp;","," "),IF(AND('Matriz Riesgo'!Z14=2,'Matriz Riesgo'!AE14=3)," "&amp;'Matriz Riesgo'!A14&amp;","," "),IF(AND('Matriz Riesgo'!Z15=2,'Matriz Riesgo'!AE15=3)," "&amp;'Matriz Riesgo'!A15&amp;","," "),IF(AND('Matriz Riesgo'!Z16=2,'Matriz Riesgo'!AE16=3)," "&amp;'Matriz Riesgo'!A16&amp;","," "),IF(AND('Matriz Riesgo'!Z17=2,'Matriz Riesgo'!AE17=3)," "&amp;'Matriz Riesgo'!A17&amp;","," "),IF(AND('Matriz Riesgo'!Z18=2,'Matriz Riesgo'!AE18=3)," "&amp;'Matriz Riesgo'!A18&amp;","," "),IF(AND('Matriz Riesgo'!Z19=2,'Matriz Riesgo'!AE19=3)," "&amp;'Matriz Riesgo'!A19&amp;","," "),IF(AND('Matriz Riesgo'!Z20=2,'Matriz Riesgo'!AE20=3)," "&amp;'Matriz Riesgo'!A20&amp;","," "),IF(AND('Matriz Riesgo'!Z21=2,'Matriz Riesgo'!AE21=3)," "&amp;'Matriz Riesgo'!A21&amp;","," "),IF(AND('Matriz Riesgo'!Z22=2,'Matriz Riesgo'!AE22=3)," "&amp;'Matriz Riesgo'!A22&amp;","," "),IF(AND('Matriz Riesgo'!Z23=2,'Matriz Riesgo'!AE23=3)," "&amp;'Matriz Riesgo'!A23&amp;","," "),IF(AND('Matriz Riesgo'!Z24=2,'Matriz Riesgo'!AE24=3)," "&amp;'Matriz Riesgo'!A24&amp;","," "),IF(AND('Matriz Riesgo'!Z25=2,'Matriz Riesgo'!AE25=3)," "&amp;'Matriz Riesgo'!A25&amp;","," "),IF(AND('Matriz Riesgo'!Z26=2,'Matriz Riesgo'!AE26=3)," "&amp;'Matriz Riesgo'!A26," "))</f>
        <v xml:space="preserve">     5,          15,      </v>
      </c>
      <c r="H18" s="6" t="str">
        <f>CONCATENATE(IF(AND('Matriz Riesgo'!Z6=2,'Matriz Riesgo'!AE6=4)," "&amp;'Matriz Riesgo'!A6&amp;","," "),IF(AND('Matriz Riesgo'!Z7=2,'Matriz Riesgo'!AE7=4)," "&amp;'Matriz Riesgo'!A7&amp;","," "),IF(AND('Matriz Riesgo'!Z8=2,'Matriz Riesgo'!AE8=4)," "&amp;'Matriz Riesgo'!A8&amp;","," "),IF(AND('Matriz Riesgo'!Z9=2,'Matriz Riesgo'!AE9=4)," "&amp;'Matriz Riesgo'!A9&amp;","," "),IF(AND('Matriz Riesgo'!Z10=2,'Matriz Riesgo'!AE10=4)," "&amp;'Matriz Riesgo'!A10&amp;","," "),IF(AND('Matriz Riesgo'!Z11=2,'Matriz Riesgo'!AE11=4)," "&amp;'Matriz Riesgo'!A11&amp;","," "),IF(AND('Matriz Riesgo'!Z12=2,'Matriz Riesgo'!AE12=4)," "&amp;'Matriz Riesgo'!A12&amp;","," "),IF(AND('Matriz Riesgo'!Z13=2,'Matriz Riesgo'!AE13=4)," "&amp;'Matriz Riesgo'!A13&amp;","," "),IF(AND('Matriz Riesgo'!Z14=2,'Matriz Riesgo'!AE14=4)," "&amp;'Matriz Riesgo'!A14&amp;","," "),IF(AND('Matriz Riesgo'!Z15=2,'Matriz Riesgo'!AE15=4)," "&amp;'Matriz Riesgo'!A15&amp;","," "),IF(AND('Matriz Riesgo'!Z16=2,'Matriz Riesgo'!AE16=4)," "&amp;'Matriz Riesgo'!A16&amp;","," "),IF(AND('Matriz Riesgo'!Z17=2,'Matriz Riesgo'!AE17=4)," "&amp;'Matriz Riesgo'!A17&amp;","," "),IF(AND('Matriz Riesgo'!Z18=2,'Matriz Riesgo'!AE18=4)," "&amp;'Matriz Riesgo'!A18&amp;","," "),IF(AND('Matriz Riesgo'!Z19=2,'Matriz Riesgo'!AE19=4)," "&amp;'Matriz Riesgo'!A19&amp;","," "),IF(AND('Matriz Riesgo'!Z20=2,'Matriz Riesgo'!AE20=4)," "&amp;'Matriz Riesgo'!A20&amp;","," "),IF(AND('Matriz Riesgo'!Z21=2,'Matriz Riesgo'!AE21=4)," "&amp;'Matriz Riesgo'!A21&amp;","," "),IF(AND('Matriz Riesgo'!Z22=2,'Matriz Riesgo'!AE22=4)," "&amp;'Matriz Riesgo'!A22&amp;","," "),IF(AND('Matriz Riesgo'!Z23=2,'Matriz Riesgo'!AE23=4)," "&amp;'Matriz Riesgo'!A23&amp;","," "),IF(AND('Matriz Riesgo'!Z24=2,'Matriz Riesgo'!AE24=4)," "&amp;'Matriz Riesgo'!A24&amp;","," "),IF(AND('Matriz Riesgo'!Z25=2,'Matriz Riesgo'!AE25=4)," "&amp;'Matriz Riesgo'!A25&amp;","," "),IF(AND('Matriz Riesgo'!Z26=2,'Matriz Riesgo'!AE26=4)," "&amp;'Matriz Riesgo'!A26," "))</f>
        <v xml:space="preserve">                     </v>
      </c>
      <c r="I18" s="7" t="str">
        <f>CONCATENATE(IF(AND('Matriz Riesgo'!Z6=2,'Matriz Riesgo'!AE6=5)," "&amp;'Matriz Riesgo'!A6&amp;","," "),IF(AND('Matriz Riesgo'!Z7=2,'Matriz Riesgo'!AE7=5)," "&amp;'Matriz Riesgo'!A7&amp;","," "),IF(AND('Matriz Riesgo'!Z8=2,'Matriz Riesgo'!AE8=5)," "&amp;'Matriz Riesgo'!A8&amp;","," "),IF(AND('Matriz Riesgo'!Z9=2,'Matriz Riesgo'!AE9=5)," "&amp;'Matriz Riesgo'!A9&amp;","," "),IF(AND('Matriz Riesgo'!Z10=2,'Matriz Riesgo'!AE10=5)," "&amp;'Matriz Riesgo'!A10&amp;","," "),IF(AND('Matriz Riesgo'!Z11=2,'Matriz Riesgo'!AE11=5)," "&amp;'Matriz Riesgo'!A11&amp;","," "),IF(AND('Matriz Riesgo'!Z12=2,'Matriz Riesgo'!AE12=5)," "&amp;'Matriz Riesgo'!A12&amp;","," "),IF(AND('Matriz Riesgo'!Z13=2,'Matriz Riesgo'!AE13=5)," "&amp;'Matriz Riesgo'!A13&amp;","," "),IF(AND('Matriz Riesgo'!Z14=2,'Matriz Riesgo'!AE14=5)," "&amp;'Matriz Riesgo'!A14&amp;","," "),IF(AND('Matriz Riesgo'!Z15=2,'Matriz Riesgo'!AE15=5)," "&amp;'Matriz Riesgo'!A15&amp;","," "),IF(AND('Matriz Riesgo'!Z16=2,'Matriz Riesgo'!AE16=5)," "&amp;'Matriz Riesgo'!A16&amp;","," "),IF(AND('Matriz Riesgo'!Z17=2,'Matriz Riesgo'!AE17=5)," "&amp;'Matriz Riesgo'!A17&amp;","," "),IF(AND('Matriz Riesgo'!Z18=2,'Matriz Riesgo'!AE18=5)," "&amp;'Matriz Riesgo'!A18&amp;","," "),IF(AND('Matriz Riesgo'!Z19=2,'Matriz Riesgo'!AE19=5)," "&amp;'Matriz Riesgo'!A19&amp;","," "),IF(AND('Matriz Riesgo'!Z20=2,'Matriz Riesgo'!AE20=5)," "&amp;'Matriz Riesgo'!A20&amp;","," "),IF(AND('Matriz Riesgo'!Z21=2,'Matriz Riesgo'!AE21=5)," "&amp;'Matriz Riesgo'!A21&amp;","," "),IF(AND('Matriz Riesgo'!Z22=2,'Matriz Riesgo'!AE22=5)," "&amp;'Matriz Riesgo'!A22&amp;","," "),IF(AND('Matriz Riesgo'!Z23=2,'Matriz Riesgo'!AE23=5)," "&amp;'Matriz Riesgo'!A23&amp;","," "),IF(AND('Matriz Riesgo'!Z24=2,'Matriz Riesgo'!AE24=5)," "&amp;'Matriz Riesgo'!A24&amp;","," "),IF(AND('Matriz Riesgo'!Z25=2,'Matriz Riesgo'!AE25=5)," "&amp;'Matriz Riesgo'!A25&amp;","," "),IF(AND('Matriz Riesgo'!Z26=2,'Matriz Riesgo'!AE26=5)," "&amp;'Matriz Riesgo'!A26," "))</f>
        <v xml:space="preserve">                     </v>
      </c>
      <c r="L18" s="12"/>
      <c r="M18" s="12"/>
      <c r="U18">
        <v>1</v>
      </c>
      <c r="V18">
        <v>3</v>
      </c>
      <c r="W18">
        <v>3</v>
      </c>
    </row>
    <row r="19" spans="2:23" ht="36.75" customHeight="1" thickBot="1" x14ac:dyDescent="0.35">
      <c r="B19" s="45">
        <v>1</v>
      </c>
      <c r="C19" s="118"/>
      <c r="D19" s="17" t="s">
        <v>46</v>
      </c>
      <c r="E19" s="47" t="str">
        <f>CONCATENATE(IF(AND('Matriz Riesgo'!Z6=1,'Matriz Riesgo'!AE6=1)," "&amp;'Matriz Riesgo'!A6&amp;","," "),IF(AND('Matriz Riesgo'!Z7=1,'Matriz Riesgo'!AE7=1)," "&amp;'Matriz Riesgo'!A7&amp;","," "),IF(AND('Matriz Riesgo'!Z8=1,'Matriz Riesgo'!AE8=1)," "&amp;'Matriz Riesgo'!A8&amp;","," "),IF(AND('Matriz Riesgo'!Z9=1,'Matriz Riesgo'!AE9=1)," "&amp;'Matriz Riesgo'!A9&amp;","," "),IF(AND('Matriz Riesgo'!Z10=1,'Matriz Riesgo'!AE10=1)," "&amp;'Matriz Riesgo'!A10&amp;","," "),IF(AND('Matriz Riesgo'!Z11=1,'Matriz Riesgo'!AE11=1)," "&amp;'Matriz Riesgo'!A11&amp;","," "),IF(AND('Matriz Riesgo'!Z12=1,'Matriz Riesgo'!AE12=1)," "&amp;'Matriz Riesgo'!A12&amp;","," "),IF(AND('Matriz Riesgo'!Z13=1,'Matriz Riesgo'!AE13=1)," "&amp;'Matriz Riesgo'!A13&amp;","," "),IF(AND('Matriz Riesgo'!Z14=1,'Matriz Riesgo'!AE14=1)," "&amp;'Matriz Riesgo'!A14&amp;","," "),IF(AND('Matriz Riesgo'!Z15=1,'Matriz Riesgo'!AE15=1)," "&amp;'Matriz Riesgo'!A15&amp;","," "),IF(AND('Matriz Riesgo'!Z16=1,'Matriz Riesgo'!AE16=1)," "&amp;'Matriz Riesgo'!A16&amp;","," "),IF(AND('Matriz Riesgo'!Z17=1,'Matriz Riesgo'!AE17=1)," "&amp;'Matriz Riesgo'!A17&amp;","," "),IF(AND('Matriz Riesgo'!Z18=1,'Matriz Riesgo'!AE18=1)," "&amp;'Matriz Riesgo'!A18&amp;","," "),IF(AND('Matriz Riesgo'!Z19=1,'Matriz Riesgo'!AE19=1)," "&amp;'Matriz Riesgo'!A19&amp;","," "),IF(AND('Matriz Riesgo'!Z20=1,'Matriz Riesgo'!AE20=1)," "&amp;'Matriz Riesgo'!A20&amp;","," "),IF(AND('Matriz Riesgo'!Z21=1,'Matriz Riesgo'!AE21=1)," "&amp;'Matriz Riesgo'!A21&amp;","," "),IF(AND('Matriz Riesgo'!Z22=1,'Matriz Riesgo'!AE22=1)," "&amp;'Matriz Riesgo'!A22&amp;","," "),IF(AND('Matriz Riesgo'!Z23=1,'Matriz Riesgo'!AE23=1)," "&amp;'Matriz Riesgo'!A23&amp;","," "),IF(AND('Matriz Riesgo'!Z24=1,'Matriz Riesgo'!AE24=1)," "&amp;'Matriz Riesgo'!A24&amp;","," "),IF(AND('Matriz Riesgo'!Z25=1,'Matriz Riesgo'!AE25=1)," "&amp;'Matriz Riesgo'!A25&amp;","," "),IF(AND('Matriz Riesgo'!Z26=1,'Matriz Riesgo'!AE26=1)," "&amp;'Matriz Riesgo'!A26," "))</f>
        <v xml:space="preserve">                     </v>
      </c>
      <c r="F19" s="9" t="str">
        <f>CONCATENATE(IF(AND('Matriz Riesgo'!Z6=1,'Matriz Riesgo'!AE6=2)," "&amp;'Matriz Riesgo'!A6&amp;","," "),IF(AND('Matriz Riesgo'!Z7=1,'Matriz Riesgo'!AE7=2)," "&amp;'Matriz Riesgo'!A7&amp;","," "),IF(AND('Matriz Riesgo'!Z8=1,'Matriz Riesgo'!AE8=2)," "&amp;'Matriz Riesgo'!A8&amp;","," "),IF(AND('Matriz Riesgo'!Z9=1,'Matriz Riesgo'!AE9=2)," "&amp;'Matriz Riesgo'!A9&amp;","," "),IF(AND('Matriz Riesgo'!Z10=1,'Matriz Riesgo'!AE10=2)," "&amp;'Matriz Riesgo'!A10&amp;","," "),IF(AND('Matriz Riesgo'!Z11=1,'Matriz Riesgo'!AE11=2)," "&amp;'Matriz Riesgo'!A11&amp;","," "),IF(AND('Matriz Riesgo'!Z12=1,'Matriz Riesgo'!AE12=2)," "&amp;'Matriz Riesgo'!A12&amp;","," "),IF(AND('Matriz Riesgo'!Z13=1,'Matriz Riesgo'!AE13=2)," "&amp;'Matriz Riesgo'!A13&amp;","," "),IF(AND('Matriz Riesgo'!Z14=1,'Matriz Riesgo'!AE14=2)," "&amp;'Matriz Riesgo'!A14&amp;","," "),IF(AND('Matriz Riesgo'!Z15=1,'Matriz Riesgo'!AE15=2)," "&amp;'Matriz Riesgo'!A15&amp;","," "),IF(AND('Matriz Riesgo'!Z16=1,'Matriz Riesgo'!AE16=2)," "&amp;'Matriz Riesgo'!A16&amp;","," "),IF(AND('Matriz Riesgo'!Z17=1,'Matriz Riesgo'!AE17=2)," "&amp;'Matriz Riesgo'!A17&amp;","," "),IF(AND('Matriz Riesgo'!Z18=1,'Matriz Riesgo'!AE18=2)," "&amp;'Matriz Riesgo'!A18&amp;","," "),IF(AND('Matriz Riesgo'!Z19=1,'Matriz Riesgo'!AE19=2)," "&amp;'Matriz Riesgo'!A19&amp;","," "),IF(AND('Matriz Riesgo'!Z20=1,'Matriz Riesgo'!AE20=2)," "&amp;'Matriz Riesgo'!A20&amp;","," "),IF(AND('Matriz Riesgo'!Z21=1,'Matriz Riesgo'!AE21=2)," "&amp;'Matriz Riesgo'!A21&amp;","," "),IF(AND('Matriz Riesgo'!Z22=1,'Matriz Riesgo'!AE22=2)," "&amp;'Matriz Riesgo'!A22&amp;","," "),IF(AND('Matriz Riesgo'!Z23=1,'Matriz Riesgo'!AE23=2)," "&amp;'Matriz Riesgo'!A23&amp;","," "),IF(AND('Matriz Riesgo'!Z24=1,'Matriz Riesgo'!AE24=2)," "&amp;'Matriz Riesgo'!A24&amp;","," "),IF(AND('Matriz Riesgo'!Z25=1,'Matriz Riesgo'!AE25=2)," "&amp;'Matriz Riesgo'!A25&amp;","," "),IF(AND('Matriz Riesgo'!Z26=1,'Matriz Riesgo'!AE26=2)," "&amp;'Matriz Riesgo'!A26," "))</f>
        <v xml:space="preserve"> 1, 2,       9,  11,  13,     18,   </v>
      </c>
      <c r="G19" s="48" t="str">
        <f>CONCATENATE(IF(AND('Matriz Riesgo'!Z6=1,'Matriz Riesgo'!AE6=3)," "&amp;'Matriz Riesgo'!A6&amp;","," "),IF(AND('Matriz Riesgo'!Z7=1,'Matriz Riesgo'!AE7=3)," "&amp;'Matriz Riesgo'!A7&amp;","," "),IF(AND('Matriz Riesgo'!Z8=1,'Matriz Riesgo'!AE8=3)," "&amp;'Matriz Riesgo'!A8&amp;","," "),IF(AND('Matriz Riesgo'!Z9=1,'Matriz Riesgo'!AE9=3)," "&amp;'Matriz Riesgo'!A9&amp;","," "),IF(AND('Matriz Riesgo'!Z10=1,'Matriz Riesgo'!AE10=3)," "&amp;'Matriz Riesgo'!A10&amp;","," "),IF(AND('Matriz Riesgo'!Z11=1,'Matriz Riesgo'!AE11=3)," "&amp;'Matriz Riesgo'!A11&amp;","," "),IF(AND('Matriz Riesgo'!Z12=1,'Matriz Riesgo'!AE12=3)," "&amp;'Matriz Riesgo'!A12&amp;","," "),IF(AND('Matriz Riesgo'!Z13=1,'Matriz Riesgo'!AE13=3)," "&amp;'Matriz Riesgo'!A13&amp;","," "),IF(AND('Matriz Riesgo'!Z14=1,'Matriz Riesgo'!AE14=3)," "&amp;'Matriz Riesgo'!A14&amp;","," "),IF(AND('Matriz Riesgo'!Z15=1,'Matriz Riesgo'!AE15=3)," "&amp;'Matriz Riesgo'!A15&amp;","," "),IF(AND('Matriz Riesgo'!Z16=1,'Matriz Riesgo'!AE16=3)," "&amp;'Matriz Riesgo'!A16&amp;","," "),IF(AND('Matriz Riesgo'!Z17=1,'Matriz Riesgo'!AE17=3)," "&amp;'Matriz Riesgo'!A17&amp;","," "),IF(AND('Matriz Riesgo'!Z18=1,'Matriz Riesgo'!AE18=3)," "&amp;'Matriz Riesgo'!A18&amp;","," "),IF(AND('Matriz Riesgo'!Z19=1,'Matriz Riesgo'!AE19=3)," "&amp;'Matriz Riesgo'!A19&amp;","," "),IF(AND('Matriz Riesgo'!Z20=1,'Matriz Riesgo'!AE20=3)," "&amp;'Matriz Riesgo'!A20&amp;","," "),IF(AND('Matriz Riesgo'!Z21=1,'Matriz Riesgo'!AE21=3)," "&amp;'Matriz Riesgo'!A21&amp;","," "),IF(AND('Matriz Riesgo'!Z22=1,'Matriz Riesgo'!AE22=3)," "&amp;'Matriz Riesgo'!A22&amp;","," "),IF(AND('Matriz Riesgo'!Z23=1,'Matriz Riesgo'!AE23=3)," "&amp;'Matriz Riesgo'!A23&amp;","," "),IF(AND('Matriz Riesgo'!Z24=1,'Matriz Riesgo'!AE24=3)," "&amp;'Matriz Riesgo'!A24&amp;","," "),IF(AND('Matriz Riesgo'!Z25=1,'Matriz Riesgo'!AE25=3)," "&amp;'Matriz Riesgo'!A25&amp;","," "),IF(AND('Matriz Riesgo'!Z26=1,'Matriz Riesgo'!AE26=3)," "&amp;'Matriz Riesgo'!A26," "))</f>
        <v xml:space="preserve">   3,         12,  14,  16, 17,    </v>
      </c>
      <c r="H19" s="5" t="str">
        <f>CONCATENATE(IF(AND('Matriz Riesgo'!Z6=1,'Matriz Riesgo'!AE6=4)," "&amp;'Matriz Riesgo'!A6&amp;","," "),IF(AND('Matriz Riesgo'!Z7=1,'Matriz Riesgo'!AE7=4)," "&amp;'Matriz Riesgo'!A7&amp;","," "),IF(AND('Matriz Riesgo'!Z8=1,'Matriz Riesgo'!AE8=4)," "&amp;'Matriz Riesgo'!A8&amp;","," "),IF(AND('Matriz Riesgo'!Z9=1,'Matriz Riesgo'!AE9=4)," "&amp;'Matriz Riesgo'!A9&amp;","," "),IF(AND('Matriz Riesgo'!Z10=1,'Matriz Riesgo'!AE10=4)," "&amp;'Matriz Riesgo'!A10&amp;","," "),IF(AND('Matriz Riesgo'!Z11=1,'Matriz Riesgo'!AE11=4)," "&amp;'Matriz Riesgo'!A11&amp;","," "),IF(AND('Matriz Riesgo'!Z12=1,'Matriz Riesgo'!AE12=4)," "&amp;'Matriz Riesgo'!A12&amp;","," "),IF(AND('Matriz Riesgo'!Z13=1,'Matriz Riesgo'!AE13=4)," "&amp;'Matriz Riesgo'!A13&amp;","," "),IF(AND('Matriz Riesgo'!Z14=1,'Matriz Riesgo'!AE14=4)," "&amp;'Matriz Riesgo'!A14&amp;","," "),IF(AND('Matriz Riesgo'!Z15=1,'Matriz Riesgo'!AE15=4)," "&amp;'Matriz Riesgo'!A15&amp;","," "),IF(AND('Matriz Riesgo'!Z16=1,'Matriz Riesgo'!AE16=4)," "&amp;'Matriz Riesgo'!A16&amp;","," "),IF(AND('Matriz Riesgo'!Z17=1,'Matriz Riesgo'!AE17=4)," "&amp;'Matriz Riesgo'!A17&amp;","," "),IF(AND('Matriz Riesgo'!Z18=1,'Matriz Riesgo'!AE18=4)," "&amp;'Matriz Riesgo'!A18&amp;","," "),IF(AND('Matriz Riesgo'!Z19=1,'Matriz Riesgo'!AE19=4)," "&amp;'Matriz Riesgo'!A19&amp;","," "),IF(AND('Matriz Riesgo'!Z20=1,'Matriz Riesgo'!AE20=4)," "&amp;'Matriz Riesgo'!A20&amp;","," "),IF(AND('Matriz Riesgo'!Z21=1,'Matriz Riesgo'!AE21=4)," "&amp;'Matriz Riesgo'!A21&amp;","," "),IF(AND('Matriz Riesgo'!Z22=1,'Matriz Riesgo'!AE22=4)," "&amp;'Matriz Riesgo'!A22&amp;","," "),IF(AND('Matriz Riesgo'!Z23=1,'Matriz Riesgo'!AE23=4)," "&amp;'Matriz Riesgo'!A23&amp;","," "),IF(AND('Matriz Riesgo'!Z24=1,'Matriz Riesgo'!AE24=4)," "&amp;'Matriz Riesgo'!A24&amp;","," "),IF(AND('Matriz Riesgo'!Z25=1,'Matriz Riesgo'!AE25=4)," "&amp;'Matriz Riesgo'!A25&amp;","," "),IF(AND('Matriz Riesgo'!Z26=1,'Matriz Riesgo'!AE26=4)," "&amp;'Matriz Riesgo'!A26," "))</f>
        <v xml:space="preserve">                   19,  </v>
      </c>
      <c r="I19" s="6" t="str">
        <f>CONCATENATE(IF(AND('Matriz Riesgo'!Z6=1,'Matriz Riesgo'!AE6=5)," "&amp;'Matriz Riesgo'!A6&amp;","," "),IF(AND('Matriz Riesgo'!Z7=1,'Matriz Riesgo'!AE7=5)," "&amp;'Matriz Riesgo'!A7&amp;","," "),IF(AND('Matriz Riesgo'!Z8=1,'Matriz Riesgo'!AE8=5)," "&amp;'Matriz Riesgo'!A8&amp;","," "),IF(AND('Matriz Riesgo'!Z9=1,'Matriz Riesgo'!AE9=5)," "&amp;'Matriz Riesgo'!A9&amp;","," "),IF(AND('Matriz Riesgo'!Z10=1,'Matriz Riesgo'!AE10=5)," "&amp;'Matriz Riesgo'!A10&amp;","," "),IF(AND('Matriz Riesgo'!Z11=1,'Matriz Riesgo'!AE11=5)," "&amp;'Matriz Riesgo'!A11&amp;","," "),IF(AND('Matriz Riesgo'!Z12=1,'Matriz Riesgo'!AE12=5)," "&amp;'Matriz Riesgo'!A12&amp;","," "),IF(AND('Matriz Riesgo'!Z13=1,'Matriz Riesgo'!AE13=5)," "&amp;'Matriz Riesgo'!A13&amp;","," "),IF(AND('Matriz Riesgo'!Z14=1,'Matriz Riesgo'!AE14=5)," "&amp;'Matriz Riesgo'!A14&amp;","," "),IF(AND('Matriz Riesgo'!Z15=1,'Matriz Riesgo'!AE15=5)," "&amp;'Matriz Riesgo'!A15&amp;","," "),IF(AND('Matriz Riesgo'!Z16=1,'Matriz Riesgo'!AE16=5)," "&amp;'Matriz Riesgo'!A16&amp;","," "),IF(AND('Matriz Riesgo'!Z17=1,'Matriz Riesgo'!AE17=5)," "&amp;'Matriz Riesgo'!A17&amp;","," "),IF(AND('Matriz Riesgo'!Z18=1,'Matriz Riesgo'!AE18=5)," "&amp;'Matriz Riesgo'!A18&amp;","," "),IF(AND('Matriz Riesgo'!Z19=1,'Matriz Riesgo'!AE19=5)," "&amp;'Matriz Riesgo'!A19&amp;","," "),IF(AND('Matriz Riesgo'!Z20=1,'Matriz Riesgo'!AE20=5)," "&amp;'Matriz Riesgo'!A20&amp;","," "),IF(AND('Matriz Riesgo'!Z21=1,'Matriz Riesgo'!AE21=5)," "&amp;'Matriz Riesgo'!A21&amp;","," "),IF(AND('Matriz Riesgo'!Z22=1,'Matriz Riesgo'!AE22=5)," "&amp;'Matriz Riesgo'!A22&amp;","," "),IF(AND('Matriz Riesgo'!Z23=1,'Matriz Riesgo'!AE23=5)," "&amp;'Matriz Riesgo'!A23&amp;","," "),IF(AND('Matriz Riesgo'!Z24=1,'Matriz Riesgo'!AE24=5)," "&amp;'Matriz Riesgo'!A24&amp;","," "),IF(AND('Matriz Riesgo'!Z25=1,'Matriz Riesgo'!AE25=5)," "&amp;'Matriz Riesgo'!A25&amp;","," "),IF(AND('Matriz Riesgo'!Z26=1,'Matriz Riesgo'!AE26=5)," "&amp;'Matriz Riesgo'!A26," "))</f>
        <v xml:space="preserve">                     </v>
      </c>
      <c r="L19" s="12"/>
      <c r="M19" s="12"/>
      <c r="U19">
        <v>5</v>
      </c>
      <c r="V19">
        <v>2</v>
      </c>
      <c r="W19">
        <v>10</v>
      </c>
    </row>
    <row r="20" spans="2:23" ht="15" thickBot="1" x14ac:dyDescent="0.35">
      <c r="E20" s="15" t="s">
        <v>22</v>
      </c>
      <c r="F20" s="16" t="s">
        <v>18</v>
      </c>
      <c r="G20" s="16" t="s">
        <v>11</v>
      </c>
      <c r="H20" s="16" t="s">
        <v>20</v>
      </c>
      <c r="I20" s="16" t="s">
        <v>47</v>
      </c>
      <c r="L20" s="12"/>
      <c r="M20" s="12"/>
      <c r="U20">
        <v>4</v>
      </c>
      <c r="V20">
        <v>2</v>
      </c>
      <c r="W20">
        <v>8</v>
      </c>
    </row>
    <row r="21" spans="2:23" ht="16.2" thickBot="1" x14ac:dyDescent="0.35">
      <c r="E21" s="119" t="s">
        <v>34</v>
      </c>
      <c r="F21" s="120"/>
      <c r="G21" s="120"/>
      <c r="H21" s="120"/>
      <c r="I21" s="121"/>
      <c r="L21" s="12"/>
      <c r="M21" s="12"/>
      <c r="U21">
        <v>3</v>
      </c>
      <c r="V21">
        <v>2</v>
      </c>
      <c r="W21">
        <v>6</v>
      </c>
    </row>
    <row r="22" spans="2:23" ht="15.6" x14ac:dyDescent="0.3">
      <c r="E22" s="44">
        <v>1</v>
      </c>
      <c r="F22" s="44">
        <v>2</v>
      </c>
      <c r="G22" s="44">
        <v>3</v>
      </c>
      <c r="H22" s="44">
        <v>4</v>
      </c>
      <c r="I22" s="44">
        <v>5</v>
      </c>
      <c r="L22" s="12"/>
      <c r="M22" s="12"/>
      <c r="U22">
        <v>2</v>
      </c>
      <c r="V22">
        <v>2</v>
      </c>
      <c r="W22">
        <v>4</v>
      </c>
    </row>
    <row r="23" spans="2:23" x14ac:dyDescent="0.35">
      <c r="L23" s="12"/>
      <c r="M23" s="12"/>
      <c r="U23">
        <v>1</v>
      </c>
      <c r="V23">
        <v>2</v>
      </c>
      <c r="W23">
        <v>2</v>
      </c>
    </row>
    <row r="24" spans="2:23" x14ac:dyDescent="0.35">
      <c r="L24" s="12"/>
      <c r="M24" s="12"/>
      <c r="U24">
        <v>5</v>
      </c>
      <c r="V24">
        <v>1</v>
      </c>
      <c r="W24">
        <v>5</v>
      </c>
    </row>
    <row r="25" spans="2:23" x14ac:dyDescent="0.35">
      <c r="L25" s="12"/>
      <c r="M25" s="12"/>
      <c r="U25">
        <v>4</v>
      </c>
      <c r="V25">
        <v>1</v>
      </c>
      <c r="W25">
        <v>4</v>
      </c>
    </row>
    <row r="26" spans="2:23" x14ac:dyDescent="0.35">
      <c r="L26" s="12"/>
      <c r="M26" s="12"/>
      <c r="U26">
        <v>3</v>
      </c>
      <c r="V26">
        <v>1</v>
      </c>
      <c r="W26">
        <v>3</v>
      </c>
    </row>
    <row r="27" spans="2:23" x14ac:dyDescent="0.35">
      <c r="L27" s="12"/>
      <c r="M27" s="12"/>
      <c r="U27">
        <v>2</v>
      </c>
      <c r="V27">
        <v>1</v>
      </c>
      <c r="W27">
        <v>2</v>
      </c>
    </row>
    <row r="28" spans="2:23" x14ac:dyDescent="0.35">
      <c r="U28">
        <v>1</v>
      </c>
      <c r="V28">
        <v>1</v>
      </c>
      <c r="W28">
        <v>1</v>
      </c>
    </row>
  </sheetData>
  <mergeCells count="4">
    <mergeCell ref="C4:C8"/>
    <mergeCell ref="E10:I10"/>
    <mergeCell ref="C15:C19"/>
    <mergeCell ref="E21:I21"/>
  </mergeCells>
  <pageMargins left="0.70866141732283472" right="0.70866141732283472" top="0.74803149606299213" bottom="0.74803149606299213" header="0.31496062992125984" footer="0.31496062992125984"/>
  <pageSetup scale="3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20"/>
  <sheetViews>
    <sheetView topLeftCell="D7" workbookViewId="0">
      <selection activeCell="B12" sqref="B12"/>
    </sheetView>
  </sheetViews>
  <sheetFormatPr baseColWidth="10" defaultRowHeight="14.4" x14ac:dyDescent="0.3"/>
  <cols>
    <col min="1" max="1" width="14.21875" style="1" bestFit="1" customWidth="1"/>
    <col min="2" max="2" width="75.21875" bestFit="1" customWidth="1"/>
    <col min="3" max="3" width="50.77734375" bestFit="1" customWidth="1"/>
    <col min="4" max="4" width="18.5546875" bestFit="1" customWidth="1"/>
    <col min="5" max="5" width="15.77734375" style="1" customWidth="1"/>
    <col min="6" max="6" width="14.21875" bestFit="1" customWidth="1"/>
    <col min="7" max="7" width="9.44140625" bestFit="1" customWidth="1"/>
    <col min="8" max="8" width="26.21875" bestFit="1" customWidth="1"/>
    <col min="9" max="9" width="24.5546875" bestFit="1" customWidth="1"/>
    <col min="14" max="14" width="11.44140625" style="82"/>
  </cols>
  <sheetData>
    <row r="1" spans="1:17" ht="28.8" x14ac:dyDescent="0.3">
      <c r="A1" s="92" t="s">
        <v>119</v>
      </c>
      <c r="B1" s="92" t="s">
        <v>0</v>
      </c>
      <c r="C1" s="93" t="s">
        <v>118</v>
      </c>
      <c r="D1" s="93" t="s">
        <v>151</v>
      </c>
      <c r="E1" s="92" t="s">
        <v>120</v>
      </c>
      <c r="F1" s="93" t="s">
        <v>33</v>
      </c>
      <c r="G1" s="93" t="s">
        <v>34</v>
      </c>
      <c r="H1" s="93" t="s">
        <v>121</v>
      </c>
      <c r="I1" s="93" t="s">
        <v>76</v>
      </c>
      <c r="O1" s="81">
        <v>43800</v>
      </c>
      <c r="P1" s="81">
        <v>43983</v>
      </c>
      <c r="Q1" s="81">
        <v>44013</v>
      </c>
    </row>
    <row r="2" spans="1:17" ht="28.8" x14ac:dyDescent="0.3">
      <c r="A2" s="1" t="s">
        <v>148</v>
      </c>
      <c r="B2" s="1" t="s">
        <v>137</v>
      </c>
      <c r="C2" s="39" t="s">
        <v>152</v>
      </c>
      <c r="D2" t="s">
        <v>19</v>
      </c>
      <c r="E2" s="1" t="s">
        <v>26</v>
      </c>
      <c r="F2" s="19"/>
      <c r="G2" s="19"/>
      <c r="H2" s="76" t="s">
        <v>83</v>
      </c>
      <c r="I2" s="19"/>
      <c r="N2" s="82" t="s">
        <v>6</v>
      </c>
      <c r="O2">
        <v>8</v>
      </c>
      <c r="P2">
        <v>6.8</v>
      </c>
      <c r="Q2">
        <v>6.02</v>
      </c>
    </row>
    <row r="3" spans="1:17" ht="43.2" x14ac:dyDescent="0.3">
      <c r="A3" s="1" t="s">
        <v>167</v>
      </c>
      <c r="B3" s="1" t="s">
        <v>21</v>
      </c>
      <c r="C3" s="39" t="s">
        <v>138</v>
      </c>
      <c r="D3" t="s">
        <v>116</v>
      </c>
      <c r="E3" s="1" t="s">
        <v>156</v>
      </c>
      <c r="F3" t="s">
        <v>35</v>
      </c>
      <c r="G3" t="s">
        <v>36</v>
      </c>
      <c r="H3" s="31" t="s">
        <v>84</v>
      </c>
      <c r="I3" t="s">
        <v>33</v>
      </c>
    </row>
    <row r="4" spans="1:17" ht="57.6" x14ac:dyDescent="0.3">
      <c r="A4" s="1" t="s">
        <v>168</v>
      </c>
      <c r="B4" s="1" t="s">
        <v>24</v>
      </c>
      <c r="C4" s="39" t="s">
        <v>140</v>
      </c>
      <c r="D4" t="s">
        <v>10</v>
      </c>
      <c r="E4" s="1" t="s">
        <v>29</v>
      </c>
      <c r="F4" t="s">
        <v>13</v>
      </c>
      <c r="G4" t="s">
        <v>37</v>
      </c>
      <c r="H4" s="31" t="s">
        <v>82</v>
      </c>
      <c r="I4" t="s">
        <v>34</v>
      </c>
    </row>
    <row r="5" spans="1:17" ht="28.8" x14ac:dyDescent="0.3">
      <c r="A5" s="1" t="s">
        <v>150</v>
      </c>
      <c r="B5" s="1" t="s">
        <v>154</v>
      </c>
      <c r="C5" s="39" t="s">
        <v>113</v>
      </c>
      <c r="D5" t="s">
        <v>25</v>
      </c>
      <c r="E5" s="1" t="s">
        <v>16</v>
      </c>
      <c r="F5" t="s">
        <v>14</v>
      </c>
      <c r="G5" t="s">
        <v>38</v>
      </c>
      <c r="H5" s="31" t="s">
        <v>90</v>
      </c>
      <c r="I5" t="s">
        <v>122</v>
      </c>
      <c r="O5" s="81">
        <v>43800</v>
      </c>
      <c r="P5" s="81">
        <v>43983</v>
      </c>
      <c r="Q5" s="81">
        <v>44013</v>
      </c>
    </row>
    <row r="6" spans="1:17" ht="43.2" x14ac:dyDescent="0.3">
      <c r="A6" s="1" t="s">
        <v>169</v>
      </c>
      <c r="B6" s="1" t="s">
        <v>133</v>
      </c>
      <c r="C6" s="39" t="s">
        <v>139</v>
      </c>
      <c r="E6" s="1" t="s">
        <v>30</v>
      </c>
      <c r="F6" t="s">
        <v>17</v>
      </c>
      <c r="G6" t="s">
        <v>39</v>
      </c>
      <c r="H6" s="31" t="s">
        <v>91</v>
      </c>
      <c r="N6" s="82" t="s">
        <v>9</v>
      </c>
      <c r="O6" s="83">
        <v>3</v>
      </c>
      <c r="P6" s="83">
        <v>2.75</v>
      </c>
      <c r="Q6" s="83">
        <v>2.1</v>
      </c>
    </row>
    <row r="7" spans="1:17" ht="43.2" x14ac:dyDescent="0.3">
      <c r="B7" s="1" t="s">
        <v>23</v>
      </c>
      <c r="C7" s="39" t="s">
        <v>136</v>
      </c>
      <c r="F7" t="s">
        <v>12</v>
      </c>
      <c r="G7" t="s">
        <v>40</v>
      </c>
      <c r="H7" s="31" t="s">
        <v>142</v>
      </c>
    </row>
    <row r="8" spans="1:17" ht="43.2" x14ac:dyDescent="0.3">
      <c r="B8" s="1" t="s">
        <v>155</v>
      </c>
      <c r="C8" s="39" t="s">
        <v>153</v>
      </c>
      <c r="H8" s="31" t="s">
        <v>147</v>
      </c>
    </row>
    <row r="9" spans="1:17" ht="28.8" x14ac:dyDescent="0.3">
      <c r="B9" s="1" t="s">
        <v>15</v>
      </c>
      <c r="C9" s="39" t="s">
        <v>112</v>
      </c>
      <c r="H9" s="31" t="s">
        <v>92</v>
      </c>
    </row>
    <row r="10" spans="1:17" ht="43.2" x14ac:dyDescent="0.3">
      <c r="B10" s="1" t="s">
        <v>166</v>
      </c>
      <c r="C10" s="39" t="s">
        <v>134</v>
      </c>
      <c r="H10" s="31" t="s">
        <v>94</v>
      </c>
      <c r="O10" s="81">
        <v>43800</v>
      </c>
      <c r="P10" s="81">
        <v>43983</v>
      </c>
      <c r="Q10" s="81">
        <v>44013</v>
      </c>
    </row>
    <row r="11" spans="1:17" ht="28.8" x14ac:dyDescent="0.3">
      <c r="B11" s="1" t="s">
        <v>135</v>
      </c>
      <c r="C11" s="39" t="s">
        <v>158</v>
      </c>
      <c r="H11" s="31" t="s">
        <v>95</v>
      </c>
      <c r="N11" s="82" t="s">
        <v>6</v>
      </c>
      <c r="O11">
        <v>8</v>
      </c>
      <c r="P11">
        <v>6.8</v>
      </c>
      <c r="Q11">
        <v>6.02</v>
      </c>
    </row>
    <row r="12" spans="1:17" ht="28.8" x14ac:dyDescent="0.3">
      <c r="B12" s="1" t="s">
        <v>165</v>
      </c>
      <c r="C12" s="39" t="s">
        <v>162</v>
      </c>
      <c r="H12" s="31" t="s">
        <v>97</v>
      </c>
      <c r="N12" s="82" t="s">
        <v>9</v>
      </c>
      <c r="O12" s="83">
        <v>3</v>
      </c>
      <c r="P12" s="83">
        <v>2.75</v>
      </c>
      <c r="Q12" s="83">
        <v>2.1</v>
      </c>
    </row>
    <row r="13" spans="1:17" ht="28.8" x14ac:dyDescent="0.3">
      <c r="B13" s="1" t="s">
        <v>157</v>
      </c>
      <c r="C13" s="39" t="s">
        <v>170</v>
      </c>
      <c r="H13" s="31" t="s">
        <v>98</v>
      </c>
    </row>
    <row r="14" spans="1:17" x14ac:dyDescent="0.3">
      <c r="B14" t="s">
        <v>185</v>
      </c>
      <c r="C14" t="s">
        <v>183</v>
      </c>
      <c r="H14" s="31" t="s">
        <v>99</v>
      </c>
    </row>
    <row r="15" spans="1:17" x14ac:dyDescent="0.3">
      <c r="B15" t="s">
        <v>186</v>
      </c>
      <c r="C15" t="s">
        <v>184</v>
      </c>
      <c r="H15" s="31" t="s">
        <v>100</v>
      </c>
    </row>
    <row r="16" spans="1:17" x14ac:dyDescent="0.3">
      <c r="H16" s="31" t="s">
        <v>101</v>
      </c>
    </row>
    <row r="17" spans="8:8" x14ac:dyDescent="0.3">
      <c r="H17" s="31" t="s">
        <v>145</v>
      </c>
    </row>
    <row r="18" spans="8:8" x14ac:dyDescent="0.3">
      <c r="H18" s="31" t="s">
        <v>146</v>
      </c>
    </row>
    <row r="19" spans="8:8" x14ac:dyDescent="0.3">
      <c r="H19" s="31" t="s">
        <v>159</v>
      </c>
    </row>
    <row r="20" spans="8:8" x14ac:dyDescent="0.3">
      <c r="H20" s="31" t="s">
        <v>163</v>
      </c>
    </row>
  </sheetData>
  <sortState xmlns:xlrd2="http://schemas.microsoft.com/office/spreadsheetml/2017/richdata2" ref="H2:H20">
    <sortCondition ref="H2"/>
  </sortState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Matriz Riesgo</vt:lpstr>
      <vt:lpstr>Calificación Controles</vt:lpstr>
      <vt:lpstr>Matriz Inherente - Residual</vt:lpstr>
      <vt:lpstr>Entradas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Alejandro Sanchez Fonseca</dc:creator>
  <cp:lastModifiedBy>Susan Katherin Sanchez Moyano</cp:lastModifiedBy>
  <cp:lastPrinted>2025-07-25T19:28:18Z</cp:lastPrinted>
  <dcterms:created xsi:type="dcterms:W3CDTF">2019-01-15T19:40:26Z</dcterms:created>
  <dcterms:modified xsi:type="dcterms:W3CDTF">2025-09-04T17:17:22Z</dcterms:modified>
</cp:coreProperties>
</file>