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1. GESTIÓN GERENCIAL/6. FORMATOS/MAPA DE PROCESOS/"/>
    </mc:Choice>
  </mc:AlternateContent>
  <xr:revisionPtr revIDLastSave="1" documentId="8_{7DFC254D-1166-4B9F-A627-8D42DF10A1D4}" xr6:coauthVersionLast="47" xr6:coauthVersionMax="47" xr10:uidLastSave="{1B9CA478-0506-4D27-81BC-F428F23BDDA5}"/>
  <workbookProtection workbookAlgorithmName="SHA-512" workbookHashValue="aiL5mEw8NCCLXyfbu1wJAJ81NfsvbjshNq/JhWL6OfLR9oiuwj6mtBKO3BV+pCp/Jux+dPN4q8pRsu66pOdLrA==" workbookSaltValue="maU7Upm6vYn7RONCrr6SWA==" workbookSpinCount="100000" lockStructure="1"/>
  <bookViews>
    <workbookView xWindow="-108" yWindow="-108" windowWidth="23256" windowHeight="13896" xr2:uid="{00000000-000D-0000-FFFF-FFFF00000000}"/>
  </bookViews>
  <sheets>
    <sheet name="Matriz Riesgo" sheetId="3" r:id="rId1"/>
    <sheet name="Calificación Controles" sheetId="8" r:id="rId2"/>
    <sheet name="Matriz Inherente - Residual" sheetId="5" r:id="rId3"/>
    <sheet name="Entradas" sheetId="4" r:id="rId4"/>
  </sheets>
  <definedNames>
    <definedName name="_xlnm._FilterDatabase" localSheetId="0" hidden="1">'Matriz Riesgo'!$A$6:$AL$29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3" i="8" l="1"/>
  <c r="AI3" i="8"/>
  <c r="AA8" i="8" l="1"/>
  <c r="AA9" i="8"/>
  <c r="AA10" i="8"/>
  <c r="AA11" i="8"/>
  <c r="AA12" i="8"/>
  <c r="AA13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7" i="8"/>
  <c r="AA28" i="8"/>
  <c r="AA29" i="8"/>
  <c r="AA30" i="8"/>
  <c r="AA31" i="8"/>
  <c r="AA32" i="8"/>
  <c r="AA33" i="8"/>
  <c r="AA34" i="8"/>
  <c r="AA35" i="8"/>
  <c r="AA36" i="8"/>
  <c r="W8" i="8"/>
  <c r="W9" i="8"/>
  <c r="W10" i="8"/>
  <c r="W11" i="8"/>
  <c r="W12" i="8"/>
  <c r="W13" i="8"/>
  <c r="W14" i="8"/>
  <c r="W15" i="8"/>
  <c r="W16" i="8"/>
  <c r="W17" i="8"/>
  <c r="W18" i="8"/>
  <c r="W19" i="8"/>
  <c r="W20" i="8"/>
  <c r="W21" i="8"/>
  <c r="W22" i="8"/>
  <c r="W23" i="8"/>
  <c r="W24" i="8"/>
  <c r="W25" i="8"/>
  <c r="W26" i="8"/>
  <c r="W27" i="8"/>
  <c r="W28" i="8"/>
  <c r="W29" i="8"/>
  <c r="W30" i="8"/>
  <c r="W31" i="8"/>
  <c r="W32" i="8"/>
  <c r="W33" i="8"/>
  <c r="W34" i="8"/>
  <c r="W35" i="8"/>
  <c r="W36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AA7" i="8"/>
  <c r="W7" i="8"/>
  <c r="R7" i="8"/>
  <c r="O7" i="8"/>
  <c r="L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7" i="8"/>
  <c r="S4" i="5" l="1"/>
  <c r="A8" i="3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l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C52" i="3"/>
  <c r="AC51" i="3"/>
  <c r="AC50" i="3"/>
  <c r="AC49" i="3"/>
  <c r="AC48" i="3"/>
  <c r="AC47" i="3"/>
  <c r="AC46" i="3"/>
  <c r="AC45" i="3"/>
  <c r="AC44" i="3"/>
  <c r="AC43" i="3"/>
  <c r="AC42" i="3"/>
  <c r="AC40" i="3"/>
  <c r="AC39" i="3"/>
  <c r="AC38" i="3"/>
  <c r="AC37" i="3"/>
  <c r="AC36" i="3"/>
  <c r="AC35" i="3"/>
  <c r="AC34" i="3"/>
  <c r="AC33" i="3"/>
  <c r="AC32" i="3"/>
  <c r="AC31" i="3"/>
  <c r="AC22" i="3"/>
  <c r="AC21" i="3"/>
  <c r="AC20" i="3"/>
  <c r="AC17" i="3"/>
  <c r="AC16" i="3"/>
  <c r="AC15" i="3"/>
  <c r="AC14" i="3"/>
  <c r="AC9" i="3"/>
  <c r="X52" i="3"/>
  <c r="X51" i="3"/>
  <c r="X50" i="3"/>
  <c r="X49" i="3"/>
  <c r="X48" i="3"/>
  <c r="X47" i="3"/>
  <c r="X46" i="3"/>
  <c r="X45" i="3"/>
  <c r="X44" i="3"/>
  <c r="X43" i="3"/>
  <c r="X42" i="3"/>
  <c r="X40" i="3"/>
  <c r="X39" i="3"/>
  <c r="X38" i="3"/>
  <c r="X37" i="3"/>
  <c r="X36" i="3"/>
  <c r="X35" i="3"/>
  <c r="X34" i="3"/>
  <c r="X33" i="3"/>
  <c r="X32" i="3"/>
  <c r="X31" i="3"/>
  <c r="X22" i="3"/>
  <c r="X21" i="3"/>
  <c r="X20" i="3"/>
  <c r="X17" i="3"/>
  <c r="X16" i="3"/>
  <c r="X15" i="3"/>
  <c r="X14" i="3"/>
  <c r="X9" i="3"/>
  <c r="K52" i="3"/>
  <c r="AB52" i="3" s="1"/>
  <c r="K51" i="3"/>
  <c r="AB51" i="3" s="1"/>
  <c r="K50" i="3"/>
  <c r="AB50" i="3" s="1"/>
  <c r="K49" i="3"/>
  <c r="AB49" i="3" s="1"/>
  <c r="K48" i="3"/>
  <c r="AB48" i="3" s="1"/>
  <c r="K47" i="3"/>
  <c r="AB47" i="3" s="1"/>
  <c r="K46" i="3"/>
  <c r="AB46" i="3" s="1"/>
  <c r="K45" i="3"/>
  <c r="AB45" i="3" s="1"/>
  <c r="K44" i="3"/>
  <c r="AB44" i="3" s="1"/>
  <c r="K43" i="3"/>
  <c r="AB43" i="3" s="1"/>
  <c r="K42" i="3"/>
  <c r="AB42" i="3" s="1"/>
  <c r="K41" i="3"/>
  <c r="AB41" i="3" s="1"/>
  <c r="K40" i="3"/>
  <c r="AB40" i="3" s="1"/>
  <c r="K39" i="3"/>
  <c r="AB39" i="3" s="1"/>
  <c r="K38" i="3"/>
  <c r="AB38" i="3" s="1"/>
  <c r="K37" i="3"/>
  <c r="AB37" i="3" s="1"/>
  <c r="K36" i="3"/>
  <c r="AB36" i="3" s="1"/>
  <c r="K35" i="3"/>
  <c r="AB35" i="3" s="1"/>
  <c r="K34" i="3"/>
  <c r="AB34" i="3" s="1"/>
  <c r="K33" i="3"/>
  <c r="AB33" i="3" s="1"/>
  <c r="K32" i="3"/>
  <c r="AB32" i="3" s="1"/>
  <c r="K31" i="3"/>
  <c r="AB31" i="3" s="1"/>
  <c r="K30" i="3"/>
  <c r="AB30" i="3" s="1"/>
  <c r="K29" i="3"/>
  <c r="AB29" i="3" s="1"/>
  <c r="K28" i="3"/>
  <c r="AB28" i="3" s="1"/>
  <c r="K27" i="3"/>
  <c r="K26" i="3"/>
  <c r="AB26" i="3" s="1"/>
  <c r="K25" i="3"/>
  <c r="AB25" i="3" s="1"/>
  <c r="K24" i="3"/>
  <c r="AB24" i="3" s="1"/>
  <c r="K23" i="3"/>
  <c r="AB23" i="3" s="1"/>
  <c r="K22" i="3"/>
  <c r="K21" i="3"/>
  <c r="AB21" i="3" s="1"/>
  <c r="K20" i="3"/>
  <c r="AB20" i="3" s="1"/>
  <c r="K19" i="3"/>
  <c r="AB19" i="3" s="1"/>
  <c r="K18" i="3"/>
  <c r="AB18" i="3" s="1"/>
  <c r="K17" i="3"/>
  <c r="AB17" i="3" s="1"/>
  <c r="K16" i="3"/>
  <c r="AB16" i="3" s="1"/>
  <c r="K15" i="3"/>
  <c r="AB15" i="3" s="1"/>
  <c r="K14" i="3"/>
  <c r="K13" i="3"/>
  <c r="AB13" i="3" s="1"/>
  <c r="K12" i="3"/>
  <c r="K11" i="3"/>
  <c r="K10" i="3"/>
  <c r="K9" i="3"/>
  <c r="K8" i="3"/>
  <c r="T52" i="3"/>
  <c r="S52" i="3"/>
  <c r="R52" i="3"/>
  <c r="T51" i="3"/>
  <c r="S51" i="3"/>
  <c r="R51" i="3"/>
  <c r="T50" i="3"/>
  <c r="S50" i="3"/>
  <c r="R50" i="3"/>
  <c r="T49" i="3"/>
  <c r="S49" i="3"/>
  <c r="R49" i="3"/>
  <c r="T48" i="3"/>
  <c r="S48" i="3"/>
  <c r="R48" i="3"/>
  <c r="T47" i="3"/>
  <c r="S47" i="3"/>
  <c r="R47" i="3"/>
  <c r="T46" i="3"/>
  <c r="S46" i="3"/>
  <c r="R46" i="3"/>
  <c r="T45" i="3"/>
  <c r="S45" i="3"/>
  <c r="R45" i="3"/>
  <c r="T44" i="3"/>
  <c r="S44" i="3"/>
  <c r="R44" i="3"/>
  <c r="T43" i="3"/>
  <c r="S43" i="3"/>
  <c r="R43" i="3"/>
  <c r="T42" i="3"/>
  <c r="S42" i="3"/>
  <c r="R42" i="3"/>
  <c r="T41" i="3"/>
  <c r="S41" i="3"/>
  <c r="T40" i="3"/>
  <c r="S40" i="3"/>
  <c r="R40" i="3"/>
  <c r="R39" i="3"/>
  <c r="R38" i="3"/>
  <c r="R37" i="3"/>
  <c r="R36" i="3"/>
  <c r="R35" i="3"/>
  <c r="K7" i="3"/>
  <c r="H7" i="3"/>
  <c r="H52" i="3"/>
  <c r="M52" i="3" s="1"/>
  <c r="H51" i="3"/>
  <c r="W51" i="3" s="1"/>
  <c r="H50" i="3"/>
  <c r="H49" i="3"/>
  <c r="W49" i="3" s="1"/>
  <c r="H48" i="3"/>
  <c r="H47" i="3"/>
  <c r="W47" i="3" s="1"/>
  <c r="H46" i="3"/>
  <c r="M46" i="3" s="1"/>
  <c r="H45" i="3"/>
  <c r="W45" i="3" s="1"/>
  <c r="H44" i="3"/>
  <c r="M44" i="3" s="1"/>
  <c r="H43" i="3"/>
  <c r="W43" i="3" s="1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M48" i="3" l="1"/>
  <c r="M45" i="3"/>
  <c r="M49" i="3"/>
  <c r="M42" i="3"/>
  <c r="M50" i="3"/>
  <c r="AE39" i="3"/>
  <c r="AF39" i="3" s="1"/>
  <c r="W52" i="3"/>
  <c r="Y52" i="3" s="1"/>
  <c r="W44" i="3"/>
  <c r="W48" i="3"/>
  <c r="U42" i="3"/>
  <c r="U46" i="3"/>
  <c r="U50" i="3"/>
  <c r="AE43" i="3"/>
  <c r="AF43" i="3" s="1"/>
  <c r="AE47" i="3"/>
  <c r="AE51" i="3"/>
  <c r="U45" i="3"/>
  <c r="U49" i="3"/>
  <c r="M43" i="3"/>
  <c r="M47" i="3"/>
  <c r="M51" i="3"/>
  <c r="U44" i="3"/>
  <c r="U48" i="3"/>
  <c r="W42" i="3"/>
  <c r="Y42" i="3" s="1"/>
  <c r="W46" i="3"/>
  <c r="Y46" i="3" s="1"/>
  <c r="W50" i="3"/>
  <c r="Y50" i="3" s="1"/>
  <c r="U40" i="3"/>
  <c r="U43" i="3"/>
  <c r="U47" i="3"/>
  <c r="M41" i="3"/>
  <c r="M40" i="3"/>
  <c r="AE35" i="3"/>
  <c r="AF35" i="3" s="1"/>
  <c r="M36" i="3"/>
  <c r="M37" i="3"/>
  <c r="M33" i="3"/>
  <c r="M35" i="3"/>
  <c r="M39" i="3"/>
  <c r="AE31" i="3"/>
  <c r="AF31" i="3" s="1"/>
  <c r="M32" i="3"/>
  <c r="M34" i="3"/>
  <c r="M38" i="3"/>
  <c r="I8" i="5"/>
  <c r="I6" i="5"/>
  <c r="I4" i="5"/>
  <c r="H5" i="5"/>
  <c r="H4" i="5"/>
  <c r="G4" i="5"/>
  <c r="I7" i="5"/>
  <c r="I5" i="5"/>
  <c r="G5" i="5"/>
  <c r="H7" i="5"/>
  <c r="H6" i="5"/>
  <c r="G6" i="5"/>
  <c r="G7" i="5"/>
  <c r="H8" i="5"/>
  <c r="F7" i="5"/>
  <c r="F4" i="5"/>
  <c r="G8" i="5"/>
  <c r="F6" i="5"/>
  <c r="F5" i="5"/>
  <c r="F8" i="5"/>
  <c r="E7" i="5"/>
  <c r="E5" i="5"/>
  <c r="E4" i="5"/>
  <c r="E6" i="5"/>
  <c r="Y43" i="3"/>
  <c r="Y47" i="3"/>
  <c r="Y51" i="3"/>
  <c r="AE32" i="3"/>
  <c r="AF32" i="3" s="1"/>
  <c r="AE36" i="3"/>
  <c r="AF36" i="3" s="1"/>
  <c r="AE40" i="3"/>
  <c r="AF40" i="3" s="1"/>
  <c r="AE44" i="3"/>
  <c r="AF44" i="3" s="1"/>
  <c r="AE48" i="3"/>
  <c r="AE52" i="3"/>
  <c r="AE34" i="3"/>
  <c r="AF34" i="3" s="1"/>
  <c r="AE38" i="3"/>
  <c r="AF38" i="3" s="1"/>
  <c r="AE42" i="3"/>
  <c r="AF42" i="3" s="1"/>
  <c r="AE46" i="3"/>
  <c r="AE50" i="3"/>
  <c r="E8" i="5"/>
  <c r="AE16" i="3"/>
  <c r="AF16" i="3" s="1"/>
  <c r="AE20" i="3"/>
  <c r="AF20" i="3" s="1"/>
  <c r="AB11" i="3"/>
  <c r="AB9" i="3"/>
  <c r="AE9" i="3" s="1"/>
  <c r="AF9" i="3" s="1"/>
  <c r="AB22" i="3"/>
  <c r="AE22" i="3" s="1"/>
  <c r="AF22" i="3" s="1"/>
  <c r="M20" i="3"/>
  <c r="M17" i="3"/>
  <c r="M23" i="3"/>
  <c r="M31" i="3"/>
  <c r="M30" i="3"/>
  <c r="M26" i="3"/>
  <c r="AE21" i="3"/>
  <c r="AF21" i="3" s="1"/>
  <c r="M19" i="3"/>
  <c r="AE17" i="3"/>
  <c r="AF17" i="3" s="1"/>
  <c r="M16" i="3"/>
  <c r="M22" i="3"/>
  <c r="M21" i="3"/>
  <c r="M18" i="3"/>
  <c r="M28" i="3"/>
  <c r="M27" i="3"/>
  <c r="M24" i="3"/>
  <c r="M29" i="3"/>
  <c r="M25" i="3"/>
  <c r="AE15" i="3"/>
  <c r="AF15" i="3" s="1"/>
  <c r="Y45" i="3"/>
  <c r="Y49" i="3"/>
  <c r="AE33" i="3"/>
  <c r="AF33" i="3" s="1"/>
  <c r="AE37" i="3"/>
  <c r="AF37" i="3" s="1"/>
  <c r="AE45" i="3"/>
  <c r="AE49" i="3"/>
  <c r="W40" i="3"/>
  <c r="Y40" i="3" s="1"/>
  <c r="U52" i="3"/>
  <c r="Y44" i="3"/>
  <c r="Y48" i="3"/>
  <c r="U51" i="3"/>
  <c r="AB10" i="3"/>
  <c r="M7" i="3"/>
  <c r="AH48" i="3" l="1"/>
  <c r="AH43" i="3"/>
  <c r="AH47" i="3"/>
  <c r="AH51" i="3"/>
  <c r="AH49" i="3"/>
  <c r="AH44" i="3"/>
  <c r="AH52" i="3"/>
  <c r="Z42" i="3"/>
  <c r="AH42" i="3"/>
  <c r="Z40" i="3"/>
  <c r="AH40" i="3"/>
  <c r="AH50" i="3"/>
  <c r="AH45" i="3"/>
  <c r="AH46" i="3"/>
  <c r="AB7" i="3"/>
  <c r="X25" i="3"/>
  <c r="X28" i="3"/>
  <c r="X11" i="3"/>
  <c r="AC29" i="3"/>
  <c r="AE29" i="3" s="1"/>
  <c r="AF29" i="3" s="1"/>
  <c r="X27" i="3"/>
  <c r="AC27" i="3"/>
  <c r="D8" i="8" l="1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7" i="8"/>
  <c r="M9" i="3" l="1"/>
  <c r="A5" i="3"/>
  <c r="M15" i="3" l="1"/>
  <c r="M14" i="3"/>
  <c r="M13" i="3"/>
  <c r="M12" i="3"/>
  <c r="M11" i="3"/>
  <c r="M10" i="3"/>
  <c r="M8" i="3"/>
  <c r="AB14" i="8"/>
  <c r="AB11" i="8"/>
  <c r="AC11" i="8" s="1"/>
  <c r="AD11" i="8" s="1"/>
  <c r="AB17" i="8"/>
  <c r="AC17" i="8" s="1"/>
  <c r="AD17" i="8" s="1"/>
  <c r="AB18" i="8"/>
  <c r="AB19" i="8"/>
  <c r="AB21" i="8"/>
  <c r="AC21" i="8" s="1"/>
  <c r="AD21" i="8" s="1"/>
  <c r="AB25" i="8"/>
  <c r="AC25" i="8" s="1"/>
  <c r="AD25" i="8" s="1"/>
  <c r="AB29" i="8"/>
  <c r="AC29" i="8" s="1"/>
  <c r="AD29" i="8" s="1"/>
  <c r="AB33" i="8"/>
  <c r="AC33" i="8" s="1"/>
  <c r="AD33" i="8" s="1"/>
  <c r="AB15" i="8"/>
  <c r="AC15" i="8" s="1"/>
  <c r="AD15" i="8" s="1"/>
  <c r="AB16" i="8"/>
  <c r="AC16" i="8" s="1"/>
  <c r="AD16" i="8" s="1"/>
  <c r="AB20" i="8"/>
  <c r="AB12" i="8"/>
  <c r="AB13" i="8"/>
  <c r="AB22" i="8"/>
  <c r="AC22" i="8" s="1"/>
  <c r="AD22" i="8" s="1"/>
  <c r="AB23" i="8"/>
  <c r="AC23" i="8" s="1"/>
  <c r="AD23" i="8" s="1"/>
  <c r="AB24" i="8"/>
  <c r="AC24" i="8" s="1"/>
  <c r="AD24" i="8" s="1"/>
  <c r="AB26" i="8"/>
  <c r="AC26" i="8" s="1"/>
  <c r="AD26" i="8" s="1"/>
  <c r="AB27" i="8"/>
  <c r="AC27" i="8" s="1"/>
  <c r="AD27" i="8" s="1"/>
  <c r="AB28" i="8"/>
  <c r="AB30" i="8"/>
  <c r="R13" i="3" s="1"/>
  <c r="AB31" i="8"/>
  <c r="AC31" i="8" s="1"/>
  <c r="AD31" i="8" s="1"/>
  <c r="AB32" i="8"/>
  <c r="AB34" i="8"/>
  <c r="AC34" i="8" s="1"/>
  <c r="AD34" i="8" s="1"/>
  <c r="AB35" i="8"/>
  <c r="AC35" i="8" s="1"/>
  <c r="AD35" i="8" s="1"/>
  <c r="AB10" i="8"/>
  <c r="AC10" i="8" s="1"/>
  <c r="AD10" i="8" s="1"/>
  <c r="AB36" i="8"/>
  <c r="AB9" i="8"/>
  <c r="AB8" i="8"/>
  <c r="AB7" i="8"/>
  <c r="AC32" i="8" l="1"/>
  <c r="AD32" i="8" s="1"/>
  <c r="R10" i="3"/>
  <c r="AC19" i="8"/>
  <c r="AD19" i="8" s="1"/>
  <c r="R28" i="3"/>
  <c r="R20" i="3"/>
  <c r="R34" i="3"/>
  <c r="AC14" i="8"/>
  <c r="AD14" i="8" s="1"/>
  <c r="S7" i="3"/>
  <c r="R30" i="3"/>
  <c r="R33" i="3"/>
  <c r="AC9" i="8"/>
  <c r="AD9" i="8" s="1"/>
  <c r="R29" i="3"/>
  <c r="AC28" i="8"/>
  <c r="AD28" i="8" s="1"/>
  <c r="R21" i="3"/>
  <c r="R31" i="3"/>
  <c r="R15" i="3"/>
  <c r="R14" i="3"/>
  <c r="AC20" i="8"/>
  <c r="AD20" i="8" s="1"/>
  <c r="S20" i="3"/>
  <c r="AC18" i="8"/>
  <c r="AD18" i="8" s="1"/>
  <c r="AC8" i="8"/>
  <c r="AD8" i="8" s="1"/>
  <c r="R32" i="3"/>
  <c r="S22" i="3"/>
  <c r="R11" i="3"/>
  <c r="AC12" i="8"/>
  <c r="AD12" i="8" s="1"/>
  <c r="R17" i="3"/>
  <c r="R7" i="3"/>
  <c r="R18" i="3"/>
  <c r="R22" i="3"/>
  <c r="R19" i="3"/>
  <c r="AC13" i="8"/>
  <c r="AD13" i="8" s="1"/>
  <c r="R16" i="3"/>
  <c r="AC30" i="8"/>
  <c r="AD30" i="8" s="1"/>
  <c r="R41" i="3"/>
  <c r="U41" i="3" s="1"/>
  <c r="T7" i="3"/>
  <c r="S11" i="3"/>
  <c r="T37" i="3"/>
  <c r="S36" i="3"/>
  <c r="T33" i="3"/>
  <c r="S32" i="3"/>
  <c r="T29" i="3"/>
  <c r="S28" i="3"/>
  <c r="S16" i="3"/>
  <c r="S14" i="3"/>
  <c r="S10" i="3"/>
  <c r="T8" i="3"/>
  <c r="T36" i="3"/>
  <c r="T32" i="3"/>
  <c r="T22" i="3"/>
  <c r="S13" i="3"/>
  <c r="T38" i="3"/>
  <c r="S37" i="3"/>
  <c r="T34" i="3"/>
  <c r="S33" i="3"/>
  <c r="T30" i="3"/>
  <c r="S29" i="3"/>
  <c r="S18" i="3"/>
  <c r="S12" i="3"/>
  <c r="S8" i="3"/>
  <c r="S39" i="3"/>
  <c r="S31" i="3"/>
  <c r="S9" i="3"/>
  <c r="T39" i="3"/>
  <c r="S38" i="3"/>
  <c r="T35" i="3"/>
  <c r="S34" i="3"/>
  <c r="T31" i="3"/>
  <c r="S30" i="3"/>
  <c r="T25" i="3"/>
  <c r="S21" i="3"/>
  <c r="T19" i="3"/>
  <c r="S15" i="3"/>
  <c r="T13" i="3"/>
  <c r="R12" i="3"/>
  <c r="T9" i="3"/>
  <c r="S35" i="3"/>
  <c r="T28" i="3"/>
  <c r="S19" i="3"/>
  <c r="T26" i="3"/>
  <c r="S25" i="3"/>
  <c r="R24" i="3"/>
  <c r="T18" i="3"/>
  <c r="T15" i="3"/>
  <c r="T11" i="3"/>
  <c r="R27" i="3"/>
  <c r="T21" i="3"/>
  <c r="T27" i="3"/>
  <c r="S26" i="3"/>
  <c r="R25" i="3"/>
  <c r="T23" i="3"/>
  <c r="T16" i="3"/>
  <c r="T12" i="3"/>
  <c r="R23" i="3"/>
  <c r="T14" i="3"/>
  <c r="T10" i="3"/>
  <c r="S27" i="3"/>
  <c r="R26" i="3"/>
  <c r="T24" i="3"/>
  <c r="S23" i="3"/>
  <c r="T20" i="3"/>
  <c r="S24" i="3"/>
  <c r="T17" i="3"/>
  <c r="AC36" i="8"/>
  <c r="AD36" i="8" s="1"/>
  <c r="S17" i="3"/>
  <c r="R8" i="3"/>
  <c r="AC7" i="8"/>
  <c r="AD7" i="8" s="1"/>
  <c r="R9" i="3"/>
  <c r="M5" i="3"/>
  <c r="U20" i="3" l="1"/>
  <c r="W20" i="3" s="1"/>
  <c r="Y20" i="3" s="1"/>
  <c r="AH20" i="3" s="1"/>
  <c r="U22" i="3"/>
  <c r="W22" i="3" s="1"/>
  <c r="Y22" i="3" s="1"/>
  <c r="AH22" i="3" s="1"/>
  <c r="U11" i="3"/>
  <c r="U7" i="3"/>
  <c r="U16" i="3"/>
  <c r="W16" i="3" s="1"/>
  <c r="Y16" i="3" s="1"/>
  <c r="U30" i="3"/>
  <c r="U38" i="3"/>
  <c r="W35" i="3"/>
  <c r="Y35" i="3" s="1"/>
  <c r="U35" i="3"/>
  <c r="U39" i="3"/>
  <c r="U29" i="3"/>
  <c r="W29" i="3" s="1"/>
  <c r="W37" i="3"/>
  <c r="Y37" i="3" s="1"/>
  <c r="AH37" i="3" s="1"/>
  <c r="U37" i="3"/>
  <c r="U10" i="3"/>
  <c r="W10" i="3" s="1"/>
  <c r="U21" i="3"/>
  <c r="W21" i="3" s="1"/>
  <c r="Y21" i="3" s="1"/>
  <c r="U34" i="3"/>
  <c r="W34" i="3" s="1"/>
  <c r="Y34" i="3" s="1"/>
  <c r="U36" i="3"/>
  <c r="U18" i="3"/>
  <c r="W38" i="3"/>
  <c r="Y38" i="3" s="1"/>
  <c r="W41" i="3"/>
  <c r="X41" i="3"/>
  <c r="AC41" i="3"/>
  <c r="AE41" i="3" s="1"/>
  <c r="AF41" i="3" s="1"/>
  <c r="U19" i="3"/>
  <c r="U33" i="3"/>
  <c r="W33" i="3" s="1"/>
  <c r="Y33" i="3" s="1"/>
  <c r="U15" i="3"/>
  <c r="W15" i="3" s="1"/>
  <c r="Y15" i="3" s="1"/>
  <c r="U13" i="3"/>
  <c r="U28" i="3"/>
  <c r="W28" i="3" s="1"/>
  <c r="Y28" i="3" s="1"/>
  <c r="W36" i="3"/>
  <c r="Y36" i="3" s="1"/>
  <c r="U14" i="3"/>
  <c r="W14" i="3" s="1"/>
  <c r="Y14" i="3" s="1"/>
  <c r="W30" i="3"/>
  <c r="AC30" i="3"/>
  <c r="AE30" i="3" s="1"/>
  <c r="AF30" i="3" s="1"/>
  <c r="X30" i="3"/>
  <c r="AC28" i="3"/>
  <c r="AE28" i="3" s="1"/>
  <c r="AF28" i="3" s="1"/>
  <c r="U8" i="3"/>
  <c r="W8" i="3" s="1"/>
  <c r="U31" i="3"/>
  <c r="W31" i="3" s="1"/>
  <c r="Y31" i="3" s="1"/>
  <c r="AH31" i="3" s="1"/>
  <c r="U12" i="3"/>
  <c r="W39" i="3"/>
  <c r="Y39" i="3" s="1"/>
  <c r="AH39" i="3" s="1"/>
  <c r="X29" i="3"/>
  <c r="U32" i="3"/>
  <c r="W32" i="3" s="1"/>
  <c r="Y32" i="3" s="1"/>
  <c r="AH32" i="3" s="1"/>
  <c r="U9" i="3"/>
  <c r="W9" i="3" s="1"/>
  <c r="Y9" i="3" s="1"/>
  <c r="U25" i="3"/>
  <c r="W25" i="3" s="1"/>
  <c r="Y25" i="3" s="1"/>
  <c r="U26" i="3"/>
  <c r="W26" i="3" s="1"/>
  <c r="AB14" i="3"/>
  <c r="AE14" i="3" s="1"/>
  <c r="AF14" i="3" s="1"/>
  <c r="X26" i="3"/>
  <c r="AC26" i="3"/>
  <c r="AE26" i="3" s="1"/>
  <c r="AF26" i="3" s="1"/>
  <c r="U23" i="3"/>
  <c r="W23" i="3" s="1"/>
  <c r="AC25" i="3"/>
  <c r="AE25" i="3" s="1"/>
  <c r="AF25" i="3" s="1"/>
  <c r="U27" i="3"/>
  <c r="U24" i="3"/>
  <c r="W24" i="3" s="1"/>
  <c r="U17" i="3"/>
  <c r="W17" i="3" s="1"/>
  <c r="Y17" i="3" s="1"/>
  <c r="X12" i="3"/>
  <c r="AC12" i="3"/>
  <c r="AC11" i="3"/>
  <c r="AE11" i="3" s="1"/>
  <c r="AF11" i="3" s="1"/>
  <c r="W11" i="3"/>
  <c r="Y11" i="3" s="1"/>
  <c r="X10" i="3"/>
  <c r="AC10" i="3"/>
  <c r="AE10" i="3" s="1"/>
  <c r="AF10" i="3" s="1"/>
  <c r="AC8" i="3"/>
  <c r="X8" i="3"/>
  <c r="AB8" i="3"/>
  <c r="Z36" i="3" l="1"/>
  <c r="AH36" i="3"/>
  <c r="Z34" i="3"/>
  <c r="AH34" i="3"/>
  <c r="W7" i="3"/>
  <c r="AC7" i="3"/>
  <c r="AE7" i="3" s="1"/>
  <c r="AF7" i="3" s="1"/>
  <c r="X7" i="3"/>
  <c r="AH28" i="3"/>
  <c r="Z38" i="3"/>
  <c r="AH38" i="3"/>
  <c r="Z9" i="3"/>
  <c r="AH9" i="3"/>
  <c r="AH11" i="3"/>
  <c r="Z17" i="3"/>
  <c r="AH17" i="3"/>
  <c r="Z33" i="3"/>
  <c r="AH33" i="3"/>
  <c r="Z35" i="3"/>
  <c r="AH35" i="3"/>
  <c r="AH25" i="3"/>
  <c r="Z14" i="3"/>
  <c r="AH14" i="3"/>
  <c r="Z15" i="3"/>
  <c r="AH15" i="3"/>
  <c r="Z16" i="3"/>
  <c r="AH16" i="3"/>
  <c r="Z21" i="3"/>
  <c r="AH21" i="3"/>
  <c r="Z20" i="3"/>
  <c r="Z22" i="3"/>
  <c r="Y10" i="3"/>
  <c r="AH10" i="3" s="1"/>
  <c r="Z37" i="3"/>
  <c r="W13" i="3"/>
  <c r="AC13" i="3"/>
  <c r="AE13" i="3" s="1"/>
  <c r="AF13" i="3" s="1"/>
  <c r="X13" i="3"/>
  <c r="W18" i="3"/>
  <c r="AC18" i="3"/>
  <c r="AE18" i="3" s="1"/>
  <c r="AF18" i="3" s="1"/>
  <c r="X18" i="3"/>
  <c r="W19" i="3"/>
  <c r="X19" i="3"/>
  <c r="AC19" i="3"/>
  <c r="AE19" i="3" s="1"/>
  <c r="AF19" i="3" s="1"/>
  <c r="Y41" i="3"/>
  <c r="AH41" i="3" s="1"/>
  <c r="Y30" i="3"/>
  <c r="AH30" i="3" s="1"/>
  <c r="Y29" i="3"/>
  <c r="AH29" i="3" s="1"/>
  <c r="W12" i="3"/>
  <c r="Y12" i="3" s="1"/>
  <c r="AB12" i="3"/>
  <c r="AE12" i="3" s="1"/>
  <c r="AF12" i="3" s="1"/>
  <c r="Z39" i="3"/>
  <c r="Z31" i="3"/>
  <c r="Z28" i="3"/>
  <c r="Z32" i="3"/>
  <c r="Y26" i="3"/>
  <c r="AH26" i="3" s="1"/>
  <c r="AB27" i="3"/>
  <c r="AE27" i="3" s="1"/>
  <c r="AF27" i="3" s="1"/>
  <c r="W27" i="3"/>
  <c r="Y27" i="3" s="1"/>
  <c r="Z25" i="3"/>
  <c r="Z11" i="3"/>
  <c r="X24" i="3"/>
  <c r="Y24" i="3" s="1"/>
  <c r="AC24" i="3"/>
  <c r="AE24" i="3" s="1"/>
  <c r="AF24" i="3" s="1"/>
  <c r="X23" i="3"/>
  <c r="Y23" i="3" s="1"/>
  <c r="AC23" i="3"/>
  <c r="AE23" i="3" s="1"/>
  <c r="AF23" i="3" s="1"/>
  <c r="AE8" i="3"/>
  <c r="AF8" i="3" s="1"/>
  <c r="Y8" i="3"/>
  <c r="AH24" i="3" l="1"/>
  <c r="AH23" i="3"/>
  <c r="Y7" i="3"/>
  <c r="Z7" i="3" s="1"/>
  <c r="AH7" i="3" s="1"/>
  <c r="Z8" i="3"/>
  <c r="AH8" i="3"/>
  <c r="Z27" i="3"/>
  <c r="AH27" i="3"/>
  <c r="AH12" i="3"/>
  <c r="Z10" i="3"/>
  <c r="Y18" i="3"/>
  <c r="Y19" i="3"/>
  <c r="AH19" i="3" s="1"/>
  <c r="Y13" i="3"/>
  <c r="AH13" i="3" s="1"/>
  <c r="Z41" i="3"/>
  <c r="Z29" i="3"/>
  <c r="Z30" i="3"/>
  <c r="Z12" i="3"/>
  <c r="Z26" i="3"/>
  <c r="Z24" i="3"/>
  <c r="Z23" i="3"/>
  <c r="Z18" i="3" l="1"/>
  <c r="AH18" i="3"/>
  <c r="Z13" i="3"/>
  <c r="Z19" i="3"/>
  <c r="G18" i="5" s="1"/>
  <c r="AH5" i="3" l="1"/>
  <c r="F16" i="5"/>
  <c r="I18" i="5"/>
  <c r="G15" i="5"/>
  <c r="E15" i="5"/>
  <c r="G17" i="5"/>
  <c r="H15" i="5"/>
  <c r="H17" i="5"/>
  <c r="E19" i="5"/>
  <c r="I16" i="5"/>
  <c r="H18" i="5"/>
  <c r="I19" i="5"/>
  <c r="F17" i="5"/>
  <c r="E17" i="5"/>
  <c r="H19" i="5"/>
  <c r="E18" i="5"/>
  <c r="F18" i="5"/>
  <c r="E16" i="5"/>
  <c r="H16" i="5"/>
  <c r="G16" i="5"/>
  <c r="F15" i="5"/>
  <c r="I15" i="5"/>
  <c r="F19" i="5"/>
  <c r="G19" i="5"/>
  <c r="I17" i="5"/>
  <c r="AI4" i="3" l="1"/>
  <c r="AJ4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<sst xmlns="http://schemas.openxmlformats.org/spreadsheetml/2006/main" count="669" uniqueCount="252">
  <si>
    <t>Riesgo</t>
  </si>
  <si>
    <t>Causa</t>
  </si>
  <si>
    <t>Riesgo Asociado</t>
  </si>
  <si>
    <t>Factor de Riesgo</t>
  </si>
  <si>
    <t>Probabilidad</t>
  </si>
  <si>
    <t>Impacto</t>
  </si>
  <si>
    <t>Riesgo Inherente</t>
  </si>
  <si>
    <t>Disminuye</t>
  </si>
  <si>
    <t>Efectividad</t>
  </si>
  <si>
    <t>Riesgo Residual</t>
  </si>
  <si>
    <t>Reputacional</t>
  </si>
  <si>
    <t>MEDIO</t>
  </si>
  <si>
    <t>Raro</t>
  </si>
  <si>
    <t>Muy Probable</t>
  </si>
  <si>
    <t>Posible</t>
  </si>
  <si>
    <t>Jurisdicción</t>
  </si>
  <si>
    <t>Poco Probable</t>
  </si>
  <si>
    <t>BAJO</t>
  </si>
  <si>
    <t>Legal</t>
  </si>
  <si>
    <t>ALTO</t>
  </si>
  <si>
    <t>MUY BAJO</t>
  </si>
  <si>
    <t>Operacional</t>
  </si>
  <si>
    <t>Accionistas</t>
  </si>
  <si>
    <t>Proceso/Area</t>
  </si>
  <si>
    <t>Canales</t>
  </si>
  <si>
    <t>Proveedores</t>
  </si>
  <si>
    <t>No.</t>
  </si>
  <si>
    <t>PROBABILIDAD</t>
  </si>
  <si>
    <t>IMPACTO</t>
  </si>
  <si>
    <t>Casi seguro</t>
  </si>
  <si>
    <t>Muy Alto</t>
  </si>
  <si>
    <t>Alto</t>
  </si>
  <si>
    <t>Medio</t>
  </si>
  <si>
    <t>Bajo</t>
  </si>
  <si>
    <t>Muy Bajo</t>
  </si>
  <si>
    <t>Calificación</t>
  </si>
  <si>
    <t>CASI SEGURO</t>
  </si>
  <si>
    <t>MUY PROBABLE</t>
  </si>
  <si>
    <t>POSIBLE</t>
  </si>
  <si>
    <t>POCO PROBABLE</t>
  </si>
  <si>
    <t>RARO</t>
  </si>
  <si>
    <t>MUY ALTO</t>
  </si>
  <si>
    <t>CONTROL</t>
  </si>
  <si>
    <t>POR TIPO</t>
  </si>
  <si>
    <t>PREVENTIVO</t>
  </si>
  <si>
    <t>DETECTIVO</t>
  </si>
  <si>
    <t>CORRECTIVO</t>
  </si>
  <si>
    <t>POR NATURALEZA</t>
  </si>
  <si>
    <t>AUTOMATICO</t>
  </si>
  <si>
    <t>MANUAL</t>
  </si>
  <si>
    <t>MIXTO</t>
  </si>
  <si>
    <t>FORMAL</t>
  </si>
  <si>
    <t>INFORMAL</t>
  </si>
  <si>
    <t>EVIDENCIA</t>
  </si>
  <si>
    <t>DOCUMENTACION</t>
  </si>
  <si>
    <t>DOCUMENTADO</t>
  </si>
  <si>
    <t>NO DOCUMENTADO</t>
  </si>
  <si>
    <t>PERIODICIDAD</t>
  </si>
  <si>
    <t>DIARIO</t>
  </si>
  <si>
    <t>MENSUAL</t>
  </si>
  <si>
    <t>ANUAL</t>
  </si>
  <si>
    <t>ESPORADICO</t>
  </si>
  <si>
    <t>IMPLEMENTACION</t>
  </si>
  <si>
    <t>IMPLEMENTADO</t>
  </si>
  <si>
    <t>EN DESARROLLO</t>
  </si>
  <si>
    <t>NO EXISTE</t>
  </si>
  <si>
    <t>PESO</t>
  </si>
  <si>
    <t>X</t>
  </si>
  <si>
    <t>TOTALES</t>
  </si>
  <si>
    <t>PESO %</t>
  </si>
  <si>
    <t>DISMINUYE</t>
  </si>
  <si>
    <t>Control1</t>
  </si>
  <si>
    <t>Control2</t>
  </si>
  <si>
    <t>Control3</t>
  </si>
  <si>
    <t>x</t>
  </si>
  <si>
    <t>P1</t>
  </si>
  <si>
    <t>P2</t>
  </si>
  <si>
    <t>I1</t>
  </si>
  <si>
    <t>I2</t>
  </si>
  <si>
    <t>Sin Control</t>
  </si>
  <si>
    <t>Solo asigne una calificación a cada factor por control</t>
  </si>
  <si>
    <t>#</t>
  </si>
  <si>
    <t>Descripcion</t>
  </si>
  <si>
    <t>MATRIZ DE RIESGO RESIDUAL</t>
  </si>
  <si>
    <t>MATRIZ DE RIESGO INHERENTE</t>
  </si>
  <si>
    <t>CALIFICACION</t>
  </si>
  <si>
    <t>Contagio</t>
  </si>
  <si>
    <t>RIESGO RESIDUAL PROMEDIO</t>
  </si>
  <si>
    <t>CAUSAS DE RIESGO</t>
  </si>
  <si>
    <t>FACTOR DEL RIESGO</t>
  </si>
  <si>
    <t>DESCRIPCION DEL CONTROL</t>
  </si>
  <si>
    <t>PROBABILIDAD E IMPACTO</t>
  </si>
  <si>
    <t>Total de Probabilidad</t>
  </si>
  <si>
    <t>Total de Impacto</t>
  </si>
  <si>
    <t>1-Indicadores</t>
  </si>
  <si>
    <t>sistema de etica empresarial</t>
  </si>
  <si>
    <t>manual de etica</t>
  </si>
  <si>
    <t xml:space="preserve">2-indentificar las politicas =conflicto de interes, control de fruaude, equidad y </t>
  </si>
  <si>
    <t>inventario de las politica</t>
  </si>
  <si>
    <t>gestion financiera, talento humano,</t>
  </si>
  <si>
    <t>3-integral o unir con las politicas que tenga azteca comunicaciones o sugerir lo que tengan en el sistema de etica empresarial</t>
  </si>
  <si>
    <t>4-crear una politica de etica para cada macro proceso</t>
  </si>
  <si>
    <t>PROCESO</t>
  </si>
  <si>
    <t>RIESGO</t>
  </si>
  <si>
    <t xml:space="preserve">Definir erróneamente el perfil de riesgo de la Compañía </t>
  </si>
  <si>
    <t xml:space="preserve">Comprometer a la compañía con propuestas que no correspondan con los lineamientos generales de la oferta de servicio </t>
  </si>
  <si>
    <t xml:space="preserve">Realizar pagos por valores que no correspondan </t>
  </si>
  <si>
    <t xml:space="preserve">Incumplimiento de un contrato u orden de servicio por alguna de las partes </t>
  </si>
  <si>
    <t xml:space="preserve">Deficiencias en el seguimiento a los proveedores </t>
  </si>
  <si>
    <t xml:space="preserve">Incumplimiento de los términos legales para dar respuesta a requerimientos de los organismos de control </t>
  </si>
  <si>
    <t xml:space="preserve">Contratar colaboradores que no cumplan con el perfil para el desempeño del cargo </t>
  </si>
  <si>
    <t xml:space="preserve">Manipulación de los sistemas de información para alterar los registros y documentos de la compañía en beneficio propio o de terceros </t>
  </si>
  <si>
    <t xml:space="preserve">Actuación indebida en los procedimientos de compras y de contratación </t>
  </si>
  <si>
    <t xml:space="preserve">Inadecuadas o inexistentes políticas anti soborno </t>
  </si>
  <si>
    <t>Incumplimiento en las políticas de administración de riesgo</t>
  </si>
  <si>
    <t>Incumplimiento en las políticas de Ética y Código de Conducta</t>
  </si>
  <si>
    <t>Se tiene establecido un sistema de Ética Empresarial el cual incluye los lineamientos generales, las políticas y procedimientos para la administración del riesgo de corrupción, soborno trasnacional y faltas a la Ética.</t>
  </si>
  <si>
    <t>Política de Cero Tolerancia frente al fraude, la corrupción y soborno</t>
  </si>
  <si>
    <t>Baja rotación de personal clave de la compañía.</t>
  </si>
  <si>
    <t>Definición de parámetros para la contratación con terceros, los cuales se cumplen de acuerdo con lo establecido. Las políticas de contratación definen niveles de aprobación y supervisión.</t>
  </si>
  <si>
    <t>Normatividad interna Corporativa (Políticas, lineamientos, reglas de negocio, procedimientos)</t>
  </si>
  <si>
    <t>Existen programas de capacitación al personal en diferentes aspectos normativos y procedimentales</t>
  </si>
  <si>
    <t>Investigación y procesos disciplinarios</t>
  </si>
  <si>
    <t xml:space="preserve">Se establece el Código de conducta para proveedores y contratistas que es entregado con el compromiso de conocimiento. </t>
  </si>
  <si>
    <t>Se tienen establecidos indicadores para evaluar la calidad de los proveedores.</t>
  </si>
  <si>
    <t>Se tienen establecidos procedimientos de Debida Diligencia para los proveedores. (En proceso de implementación)</t>
  </si>
  <si>
    <t>La compañía realiza procedimientos de Confirmación de referencias en la vinculación de clientes y proveedores.</t>
  </si>
  <si>
    <t>Se establecen procedimientos de validación en listas restrictivas con proveedores de servicios especializados.</t>
  </si>
  <si>
    <t>Segregación de funciones en diversos niveles de aprobación (autorización de operaciones y aplicación de políticas y procedimientos)</t>
  </si>
  <si>
    <t>La compañía tiene establecida la caracterización de los diferentes procesos, los cuales están claramente documentados</t>
  </si>
  <si>
    <t>Para algunos procesos claves se establece un control dual (Revisión vs aprobación).</t>
  </si>
  <si>
    <t>Auditorías propias de los procesos y sistemas de gestión de calidad</t>
  </si>
  <si>
    <t>Trazabilidad de la información</t>
  </si>
  <si>
    <t>Perfiles y claves de acceso en los sistemas de información</t>
  </si>
  <si>
    <t>Politica Cero Tolerancia</t>
  </si>
  <si>
    <t>Lineas de denuncia</t>
  </si>
  <si>
    <t>Organismos de Control</t>
  </si>
  <si>
    <t>Rotación de Personal</t>
  </si>
  <si>
    <t>Procedimientos de contratación</t>
  </si>
  <si>
    <t>Normas y polìticas</t>
  </si>
  <si>
    <t>Capacitación</t>
  </si>
  <si>
    <t>Regimen sancionatorio</t>
  </si>
  <si>
    <t>Còdigo de Conducta Terceros</t>
  </si>
  <si>
    <t>Indicadores de cumplimiento</t>
  </si>
  <si>
    <t>Debida Diligencia</t>
  </si>
  <si>
    <t xml:space="preserve">Confirmación de datos </t>
  </si>
  <si>
    <t>Validación en listas</t>
  </si>
  <si>
    <t>Segregación de funciones</t>
  </si>
  <si>
    <t>Documentación de Procesos</t>
  </si>
  <si>
    <t>Sistemas de información</t>
  </si>
  <si>
    <t>Parametrización de sistemas de información adecuadamente documentados</t>
  </si>
  <si>
    <t>Control dual</t>
  </si>
  <si>
    <t>Auditorias de procesos</t>
  </si>
  <si>
    <t>Trazabilidad</t>
  </si>
  <si>
    <t>Controles de Acceso</t>
  </si>
  <si>
    <t xml:space="preserve">Influenciar o inducir la compra de bienes y/o servicios a un proveedor en particular a cambio de beneficios particulares </t>
  </si>
  <si>
    <t>SIN CONTROL</t>
  </si>
  <si>
    <t>Polìticas de Pagos</t>
  </si>
  <si>
    <t>Establecer montos y canales para los pagos realizados por y a favor de la Compañìa</t>
  </si>
  <si>
    <t>Contratación de Personal</t>
  </si>
  <si>
    <t>Adecuadas polìticas y procedimientos de contratación de colaboradores.</t>
  </si>
  <si>
    <t>Deficiencias en la segregación de funciones</t>
  </si>
  <si>
    <t>Falta de controles duales en procesos y recurso humano</t>
  </si>
  <si>
    <t>Fuga o acceso no autorizado a información sensible del negocio</t>
  </si>
  <si>
    <t>Generación de información errada a entes de control o supervisión</t>
  </si>
  <si>
    <t>Intento o vinculación de proveedores que presentan antecedentes en listas restrictivas</t>
  </si>
  <si>
    <t>Intento o vinculación de socios, accionistas o inversionistas que presentan antecedentes en listas restrictivas</t>
  </si>
  <si>
    <t>No debida diligencia en investigación de beneficiario final diferente al prestador de servicios</t>
  </si>
  <si>
    <t xml:space="preserve">Uso de información personal o confidencial sin autorización expresa de contrapartes </t>
  </si>
  <si>
    <t xml:space="preserve">Indebida estructuración de los contratos en los que debe participar La Compañía. como contratante de un servicio </t>
  </si>
  <si>
    <t>1 Desconocimiento u omisión de las normas por parte de los colaboradores o contratistas</t>
  </si>
  <si>
    <t>2 Asignar una calificación errónea de la probabilidad y/o impacto a los riesgos de corrupción, soborno trasnacional y faltas a la Ética.</t>
  </si>
  <si>
    <t>3 Debilidades en los controles definidos en los diferentes procesos.</t>
  </si>
  <si>
    <t>4 Omitir el examen anual de los riesgos, sus causas y controles.</t>
  </si>
  <si>
    <t>5 Presentar información y/o documentación incompleta en la vinculación</t>
  </si>
  <si>
    <t>8 Reporte de información errada u omisión de reporte a las instancias de aprobación de la compañía</t>
  </si>
  <si>
    <t>9 Desconocimiento y/o negligencia del colaborador encargado</t>
  </si>
  <si>
    <t>12 Exigir prebendas a los proveedores para la adjudicación de contratos</t>
  </si>
  <si>
    <t>13 Errores de digitación</t>
  </si>
  <si>
    <t>14 Recibir información inconsistente o incompleta para realizar los pagos a terceros</t>
  </si>
  <si>
    <t>15 Incumplimiento del plan de trabajo establecido</t>
  </si>
  <si>
    <t>16 El servicio y/o producto recibido no cumple con los requisitos pactados con el proveedor</t>
  </si>
  <si>
    <t>17 Entrega de información/documentación extemporánea</t>
  </si>
  <si>
    <t>18 Pagos a proveedores sin que los servicios o bienes se hayan recibido a satisfacción en favorecimiento propio o del tercero</t>
  </si>
  <si>
    <t>19 Irregularidad en la aprobación de contratos u órdenes de compra.</t>
  </si>
  <si>
    <t>20 Contratar y/o comprar bienes/servicios incumpliendo las políticas de proveedores.</t>
  </si>
  <si>
    <t>21 Realizar erróneamente o no realizar la evaluación del proveedor</t>
  </si>
  <si>
    <t>22 Deficiente análisis de precios y productos entre el proveedor seleccionado y el mercado</t>
  </si>
  <si>
    <t>23 Demoras en la entrega de la correspondencia</t>
  </si>
  <si>
    <t>24 Extravío de documentos y/o correspondencia</t>
  </si>
  <si>
    <t>25 Las comunicaciones no contiene la información requerida para su identificación y distribución</t>
  </si>
  <si>
    <t>27 Demoras en el proceso de estandarización y divulgación de los documentos de vinculación.</t>
  </si>
  <si>
    <t>28 No informar, o informar de forma extemporánea la publicación de documentos o formatos a los colaboradores involucrados</t>
  </si>
  <si>
    <t>30 Errores en la elaboración de los contratos.</t>
  </si>
  <si>
    <t>31 Debilidades en la verificación de los datos proporcionados por el colaborador contra el perfil requerido, por parte de Talento Humano y del superior Inmediato del Cargo</t>
  </si>
  <si>
    <t>32 Fallas en el proceso de selección de personal</t>
  </si>
  <si>
    <t>33 Tramitar de forma inadecuada, o no tramitar las solicitudes de capacitación a los colaboradores, requeridas por las diferentes áreas de la compañía.</t>
  </si>
  <si>
    <t>34 Recibir obsequios o prebendas de los contratistas o proveedores que puedan afectar la objetividad del colaborador</t>
  </si>
  <si>
    <t>35 Dar a conocer las condiciones de contratación anticipadamente a un proveedor a cambio de un beneficio económico</t>
  </si>
  <si>
    <t>37 Ponerse de acuerdo con diferentes áreas para borrar o modificar los registros de la compañía</t>
  </si>
  <si>
    <t>38 Recibir contraprestaciones por direccionar las compras de activos a proveedores específicos.</t>
  </si>
  <si>
    <t>39 Presentar información falsa sobre la información financiera de proveedores con el fin de influenciar hacia un proveedor específico</t>
  </si>
  <si>
    <t>40 Ocultar información relevante o presentar información falsa a cambio de un beneficio económico o por conflicto de interés</t>
  </si>
  <si>
    <t>41 Adjudicar a familiares o terceros con vínculos cercanos sin reportar conflicto de interés a cambio de beneficios personales</t>
  </si>
  <si>
    <t>42 Subvenciones, beneficios o ayudas otorgados a personas que no cumplen con los requisitos definidos por la Compañía producto de engaños, manipulación de documentos o soportes falsos</t>
  </si>
  <si>
    <t>43 Aprovechar las debilidades y el desconocimiento de los colaboradores para involucrarlos en actos que conlleven a los delitos de corrupción, soborno trasnacional y faltas a la Ética</t>
  </si>
  <si>
    <t>44 Delegar la administración de contratos a colaboradores sin las competencias y el nivel de conocimiento requeridos.</t>
  </si>
  <si>
    <t>45 Efectuar pagos a proveedores por un monto superior al valor real sin la debida justificación</t>
  </si>
  <si>
    <t>46 Alteración de procesos contractuales a cambio de dinero o beneficios, incumpliendo las directrices, políticas y lineamientos establecidos.</t>
  </si>
  <si>
    <t>47 Realizar contratos no requeridos para obtener beneficios económicos personales, mediante la creación de requerimientos de bienes o servicios que no necesite la compañía.</t>
  </si>
  <si>
    <t>48 Realizar pagos a terceros sin la debida observancia de las polìticas o procedimientos establecidos</t>
  </si>
  <si>
    <t>Línea Ética y otros medios establecidos para reportar incidencias y faltas al sistema de ética empresarial</t>
  </si>
  <si>
    <t>La Revisoría Fiscal realizan procedimientos de validación de las diferentes instancias, generando reportes de hallazgos y planes de mejora</t>
  </si>
  <si>
    <t>I3</t>
  </si>
  <si>
    <t>Utilización de intermediarios para negociaciones en el exterior</t>
  </si>
  <si>
    <t>Empleados</t>
  </si>
  <si>
    <t xml:space="preserve">Vinculación de Contrapartes que no cumplen con los requisitos definidos en la Compañía </t>
  </si>
  <si>
    <t xml:space="preserve">Suministrar a terceros la información de los Contrapartes de la Compañía, sin su autorización incumpliendo las normas sobre tratamiento de datos </t>
  </si>
  <si>
    <t>10 Suministrar a terceros la información de los Contrapartes sin autorización previa</t>
  </si>
  <si>
    <t xml:space="preserve">Favorecimiento de contratos a Contrapartes y/o proveedores vinculados a la compañía. </t>
  </si>
  <si>
    <t>26 Las comunicaciones enviadas a los Contrapartes no están suscritas por el representante legal o el director de área responsable.</t>
  </si>
  <si>
    <t>36 Falta de control con los proveedores externos, los cuales pueden alterar las bases de datos de los Contrapartes y la contabilidad en los sistemas tecnológicos</t>
  </si>
  <si>
    <t>Contraparte</t>
  </si>
  <si>
    <t>6 Falencias en el proceso de verificación de datos del Contraparte o del proveedor en los formatos de vinculación y/o actualización (evidencia).</t>
  </si>
  <si>
    <t>7 Recibir información falsa por parte del Contraparte o proveedor.</t>
  </si>
  <si>
    <t>11 Validación inadecuada de la autenticidad del Contraparte actual</t>
  </si>
  <si>
    <t>Clausulas Contractuales</t>
  </si>
  <si>
    <t>Se tienen establecidas clausulas contractuales y polìtcas en las cuales se adhieren las contrapartes para el cumplimiento de las polìticas de transparencia</t>
  </si>
  <si>
    <t>Clausulas contractuales</t>
  </si>
  <si>
    <t>RIESGOS contraparte</t>
  </si>
  <si>
    <t>Gerencia Comercial</t>
  </si>
  <si>
    <t>Gerencia General</t>
  </si>
  <si>
    <t>Incumplimiento de la normatividad vigente de transparencia y etica empresarial</t>
  </si>
  <si>
    <t>Realizar negociaciones fuera del Pais</t>
  </si>
  <si>
    <t>Realizar pagos a servidores públicos y/o particulares para el favorecimiento de tramites</t>
  </si>
  <si>
    <t>Participar en licictaciones publicas sin cumplir con los requisitos</t>
  </si>
  <si>
    <t>48, Extructurar inadecuadamente una licitación por desconocimiento del proceso</t>
  </si>
  <si>
    <t>Portal de Contratación</t>
  </si>
  <si>
    <t>Programa de Transparencia &amp; Etica Empresarial</t>
  </si>
  <si>
    <t>Las licitaciones publicas se estructuran y se realizan a través del portal publico de contratación Colombia Compra el cual establece los requisitos para participar en una licitación</t>
  </si>
  <si>
    <t xml:space="preserve">Formato de Vinculación </t>
  </si>
  <si>
    <t>La compañìa cuenta con un formato de vinculación de contrapartes el cual recauda los datos para su conocimiento y las autorizaciones y declaraciones de la contraparte.</t>
  </si>
  <si>
    <t>Gerencia Financiera y Contable</t>
  </si>
  <si>
    <t>Gerencia de Gestión Humana</t>
  </si>
  <si>
    <t>Gerencia de Posventa</t>
  </si>
  <si>
    <t>Gerencia Posventa</t>
  </si>
  <si>
    <t>GESTIÓN GERENCIAL</t>
  </si>
  <si>
    <t>Versión: 03</t>
  </si>
  <si>
    <t>Fecha: 30/08/2025</t>
  </si>
  <si>
    <t>MATRIZ DE GESTION DE RIESGOS TRANSPARENCIA Y ETICA EMPRESARIAL</t>
  </si>
  <si>
    <t>Código: GE- FOR-07</t>
  </si>
  <si>
    <t>GESTIÓN ESTARTEGICA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</si>
</sst>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0.0"/>
    <numFmt numFmtId="165" formatCode="mmmm\-yyyy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.1"/>
      <color rgb="FFFFFFFF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entury Gothic"/>
      <family val="2"/>
    </font>
    <font>
      <b/>
      <sz val="14"/>
      <color theme="1"/>
      <name val="Century Gothic"/>
      <family val="2"/>
    </font>
    <font>
      <b/>
      <sz val="13"/>
      <color theme="1"/>
      <name val="Century Gothic"/>
      <family val="2"/>
    </font>
    <font>
      <b/>
      <sz val="18"/>
      <color theme="1"/>
      <name val="Century Gothic"/>
      <family val="2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0000"/>
        <bgColor indexed="64"/>
      </patternFill>
    </fill>
    <fill>
      <patternFill patternType="solid">
        <fgColor rgb="FF3300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21FF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gradientFill degree="90">
        <stop position="0">
          <color theme="0"/>
        </stop>
        <stop position="1">
          <color theme="0" tint="-0.25098422193060094"/>
        </stop>
      </gradient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Alignment="1">
      <alignment wrapText="1"/>
    </xf>
    <xf numFmtId="0" fontId="19" fillId="37" borderId="12" xfId="0" applyFont="1" applyFill="1" applyBorder="1" applyAlignment="1">
      <alignment horizontal="center" vertical="center"/>
    </xf>
    <xf numFmtId="0" fontId="19" fillId="38" borderId="12" xfId="0" applyFont="1" applyFill="1" applyBorder="1" applyAlignment="1">
      <alignment horizontal="center" vertical="center"/>
    </xf>
    <xf numFmtId="0" fontId="19" fillId="39" borderId="12" xfId="0" applyFont="1" applyFill="1" applyBorder="1" applyAlignment="1">
      <alignment horizontal="center" vertical="center"/>
    </xf>
    <xf numFmtId="0" fontId="19" fillId="40" borderId="13" xfId="0" applyFont="1" applyFill="1" applyBorder="1" applyAlignment="1">
      <alignment horizontal="center" vertical="center"/>
    </xf>
    <xf numFmtId="0" fontId="19" fillId="37" borderId="13" xfId="0" applyFont="1" applyFill="1" applyBorder="1" applyAlignment="1">
      <alignment horizontal="center" vertical="center"/>
    </xf>
    <xf numFmtId="0" fontId="19" fillId="38" borderId="13" xfId="0" applyFont="1" applyFill="1" applyBorder="1" applyAlignment="1">
      <alignment horizontal="center" vertical="center"/>
    </xf>
    <xf numFmtId="0" fontId="19" fillId="39" borderId="13" xfId="0" applyFont="1" applyFill="1" applyBorder="1" applyAlignment="1">
      <alignment horizontal="center" vertical="center"/>
    </xf>
    <xf numFmtId="0" fontId="19" fillId="41" borderId="13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4" xfId="0" applyBorder="1"/>
    <xf numFmtId="0" fontId="0" fillId="0" borderId="26" xfId="0" applyBorder="1"/>
    <xf numFmtId="41" fontId="0" fillId="0" borderId="0" xfId="42" applyFont="1"/>
    <xf numFmtId="0" fontId="21" fillId="0" borderId="0" xfId="0" applyFont="1"/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23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0" xfId="0" applyFont="1" applyBorder="1" applyAlignment="1">
      <alignment vertical="center"/>
    </xf>
    <xf numFmtId="0" fontId="23" fillId="0" borderId="11" xfId="0" applyFont="1" applyBorder="1" applyAlignment="1">
      <alignment vertical="center"/>
    </xf>
    <xf numFmtId="0" fontId="16" fillId="0" borderId="0" xfId="0" applyFont="1"/>
    <xf numFmtId="0" fontId="14" fillId="0" borderId="0" xfId="0" applyFont="1"/>
    <xf numFmtId="0" fontId="0" fillId="0" borderId="29" xfId="0" applyBorder="1"/>
    <xf numFmtId="0" fontId="16" fillId="0" borderId="20" xfId="0" applyFont="1" applyBorder="1" applyAlignment="1">
      <alignment vertical="top"/>
    </xf>
    <xf numFmtId="0" fontId="16" fillId="0" borderId="20" xfId="0" applyFont="1" applyBorder="1" applyAlignment="1">
      <alignment horizontal="center" vertical="top"/>
    </xf>
    <xf numFmtId="0" fontId="16" fillId="0" borderId="28" xfId="0" applyFont="1" applyBorder="1" applyAlignment="1">
      <alignment horizontal="center" vertical="top"/>
    </xf>
    <xf numFmtId="0" fontId="16" fillId="42" borderId="23" xfId="0" applyFont="1" applyFill="1" applyBorder="1" applyAlignment="1">
      <alignment horizontal="center" vertical="top"/>
    </xf>
    <xf numFmtId="0" fontId="16" fillId="37" borderId="20" xfId="0" applyFont="1" applyFill="1" applyBorder="1" applyAlignment="1">
      <alignment horizontal="center" vertical="top"/>
    </xf>
    <xf numFmtId="0" fontId="16" fillId="39" borderId="20" xfId="0" applyFont="1" applyFill="1" applyBorder="1" applyAlignment="1">
      <alignment horizontal="center" vertical="top"/>
    </xf>
    <xf numFmtId="0" fontId="13" fillId="44" borderId="20" xfId="0" applyFont="1" applyFill="1" applyBorder="1" applyAlignment="1">
      <alignment horizontal="center" vertical="top"/>
    </xf>
    <xf numFmtId="0" fontId="16" fillId="42" borderId="20" xfId="0" applyFont="1" applyFill="1" applyBorder="1" applyAlignment="1">
      <alignment horizontal="center" vertical="top"/>
    </xf>
    <xf numFmtId="0" fontId="16" fillId="38" borderId="20" xfId="0" applyFont="1" applyFill="1" applyBorder="1" applyAlignment="1">
      <alignment horizontal="center" vertical="top"/>
    </xf>
    <xf numFmtId="0" fontId="13" fillId="45" borderId="20" xfId="0" applyFont="1" applyFill="1" applyBorder="1" applyAlignment="1">
      <alignment horizontal="center" vertical="top"/>
    </xf>
    <xf numFmtId="0" fontId="0" fillId="0" borderId="22" xfId="0" applyBorder="1" applyAlignment="1">
      <alignment vertical="top" wrapText="1"/>
    </xf>
    <xf numFmtId="0" fontId="16" fillId="0" borderId="23" xfId="0" applyFont="1" applyBorder="1" applyAlignment="1">
      <alignment horizontal="center" vertical="top"/>
    </xf>
    <xf numFmtId="0" fontId="16" fillId="44" borderId="20" xfId="0" applyFont="1" applyFill="1" applyBorder="1" applyAlignment="1">
      <alignment horizontal="center" vertical="top"/>
    </xf>
    <xf numFmtId="0" fontId="0" fillId="0" borderId="25" xfId="0" applyBorder="1" applyAlignment="1">
      <alignment vertical="top" wrapText="1"/>
    </xf>
    <xf numFmtId="0" fontId="16" fillId="0" borderId="0" xfId="0" applyFont="1" applyAlignment="1">
      <alignment horizontal="center" vertical="top"/>
    </xf>
    <xf numFmtId="0" fontId="0" fillId="0" borderId="27" xfId="0" applyBorder="1" applyAlignment="1">
      <alignment vertical="top" wrapText="1"/>
    </xf>
    <xf numFmtId="164" fontId="13" fillId="45" borderId="20" xfId="0" applyNumberFormat="1" applyFont="1" applyFill="1" applyBorder="1" applyAlignment="1">
      <alignment horizontal="center" vertical="top"/>
    </xf>
    <xf numFmtId="164" fontId="0" fillId="0" borderId="0" xfId="0" applyNumberFormat="1"/>
    <xf numFmtId="0" fontId="24" fillId="33" borderId="0" xfId="0" applyFont="1" applyFill="1" applyAlignment="1">
      <alignment horizontal="center" vertical="center" wrapText="1"/>
    </xf>
    <xf numFmtId="0" fontId="24" fillId="34" borderId="0" xfId="0" applyFont="1" applyFill="1" applyAlignment="1">
      <alignment horizontal="center" vertical="center" wrapText="1"/>
    </xf>
    <xf numFmtId="0" fontId="24" fillId="43" borderId="0" xfId="0" applyFont="1" applyFill="1" applyAlignment="1">
      <alignment horizontal="center" vertical="center" wrapText="1"/>
    </xf>
    <xf numFmtId="0" fontId="24" fillId="36" borderId="0" xfId="0" applyFont="1" applyFill="1" applyAlignment="1">
      <alignment horizontal="center" vertical="center" wrapText="1"/>
    </xf>
    <xf numFmtId="0" fontId="24" fillId="3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1" fontId="0" fillId="0" borderId="0" xfId="42" applyFont="1" applyFill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9" fillId="37" borderId="13" xfId="0" applyFont="1" applyFill="1" applyBorder="1" applyAlignment="1">
      <alignment horizontal="center" vertical="center" wrapText="1"/>
    </xf>
    <xf numFmtId="14" fontId="19" fillId="41" borderId="13" xfId="0" applyNumberFormat="1" applyFont="1" applyFill="1" applyBorder="1" applyAlignment="1">
      <alignment horizontal="center" vertical="center"/>
    </xf>
    <xf numFmtId="0" fontId="19" fillId="40" borderId="13" xfId="0" applyFont="1" applyFill="1" applyBorder="1" applyAlignment="1">
      <alignment horizontal="center" vertical="center" wrapText="1"/>
    </xf>
    <xf numFmtId="9" fontId="0" fillId="0" borderId="0" xfId="43" applyFon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9" fillId="38" borderId="12" xfId="0" applyFont="1" applyFill="1" applyBorder="1" applyAlignment="1">
      <alignment vertical="center"/>
    </xf>
    <xf numFmtId="0" fontId="19" fillId="37" borderId="13" xfId="0" applyFont="1" applyFill="1" applyBorder="1" applyAlignment="1">
      <alignment vertical="center"/>
    </xf>
    <xf numFmtId="0" fontId="19" fillId="40" borderId="13" xfId="0" applyFont="1" applyFill="1" applyBorder="1" applyAlignment="1">
      <alignment vertical="center"/>
    </xf>
    <xf numFmtId="0" fontId="19" fillId="37" borderId="12" xfId="0" applyFont="1" applyFill="1" applyBorder="1" applyAlignment="1">
      <alignment vertical="center"/>
    </xf>
    <xf numFmtId="0" fontId="19" fillId="39" borderId="12" xfId="0" applyFont="1" applyFill="1" applyBorder="1" applyAlignment="1">
      <alignment vertical="center"/>
    </xf>
    <xf numFmtId="0" fontId="19" fillId="41" borderId="13" xfId="0" applyFont="1" applyFill="1" applyBorder="1" applyAlignment="1">
      <alignment vertical="center"/>
    </xf>
    <xf numFmtId="0" fontId="19" fillId="40" borderId="12" xfId="0" applyFont="1" applyFill="1" applyBorder="1" applyAlignment="1">
      <alignment vertical="center"/>
    </xf>
    <xf numFmtId="0" fontId="24" fillId="46" borderId="0" xfId="0" applyFont="1" applyFill="1" applyAlignment="1">
      <alignment horizontal="center" vertical="center" wrapText="1"/>
    </xf>
    <xf numFmtId="0" fontId="0" fillId="46" borderId="0" xfId="0" applyFill="1"/>
    <xf numFmtId="0" fontId="0" fillId="46" borderId="0" xfId="0" applyFill="1" applyAlignment="1">
      <alignment horizontal="center"/>
    </xf>
    <xf numFmtId="0" fontId="0" fillId="46" borderId="0" xfId="0" applyFill="1" applyAlignment="1">
      <alignment horizontal="center" vertical="center"/>
    </xf>
    <xf numFmtId="0" fontId="19" fillId="39" borderId="12" xfId="0" applyFont="1" applyFill="1" applyBorder="1" applyAlignment="1">
      <alignment vertical="center" wrapText="1"/>
    </xf>
    <xf numFmtId="1" fontId="0" fillId="0" borderId="0" xfId="42" applyNumberFormat="1" applyFont="1" applyFill="1" applyAlignment="1">
      <alignment horizontal="center" vertical="center"/>
    </xf>
    <xf numFmtId="1" fontId="0" fillId="0" borderId="0" xfId="42" applyNumberFormat="1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9" fillId="47" borderId="12" xfId="0" applyFont="1" applyFill="1" applyBorder="1" applyAlignment="1">
      <alignment vertical="center"/>
    </xf>
    <xf numFmtId="0" fontId="25" fillId="37" borderId="0" xfId="0" applyFont="1" applyFill="1"/>
    <xf numFmtId="0" fontId="26" fillId="0" borderId="0" xfId="0" applyFont="1"/>
    <xf numFmtId="0" fontId="27" fillId="0" borderId="0" xfId="0" applyFont="1" applyAlignment="1">
      <alignment horizontal="justify" vertical="center" wrapText="1"/>
    </xf>
    <xf numFmtId="0" fontId="26" fillId="0" borderId="21" xfId="0" applyFont="1" applyBorder="1"/>
    <xf numFmtId="0" fontId="26" fillId="0" borderId="20" xfId="0" applyFont="1" applyBorder="1"/>
    <xf numFmtId="0" fontId="25" fillId="0" borderId="20" xfId="0" applyFont="1" applyBorder="1"/>
    <xf numFmtId="0" fontId="27" fillId="0" borderId="0" xfId="0" applyFont="1" applyAlignment="1">
      <alignment wrapText="1"/>
    </xf>
    <xf numFmtId="0" fontId="27" fillId="0" borderId="0" xfId="0" applyFont="1" applyAlignment="1">
      <alignment horizontal="justify" vertical="center"/>
    </xf>
    <xf numFmtId="0" fontId="0" fillId="0" borderId="0" xfId="0" applyAlignment="1">
      <alignment horizontal="left" vertical="top" wrapText="1"/>
    </xf>
    <xf numFmtId="0" fontId="27" fillId="0" borderId="20" xfId="0" applyFont="1" applyBorder="1" applyAlignment="1">
      <alignment horizontal="justify" vertical="center"/>
    </xf>
    <xf numFmtId="0" fontId="0" fillId="0" borderId="28" xfId="0" applyBorder="1" applyAlignment="1">
      <alignment vertical="top" wrapText="1"/>
    </xf>
    <xf numFmtId="0" fontId="0" fillId="0" borderId="0" xfId="0" applyAlignment="1">
      <alignment horizontal="center" vertical="top" wrapText="1"/>
    </xf>
    <xf numFmtId="0" fontId="19" fillId="41" borderId="13" xfId="0" applyFont="1" applyFill="1" applyBorder="1" applyAlignment="1">
      <alignment horizontal="center" vertical="center" wrapText="1"/>
    </xf>
    <xf numFmtId="0" fontId="26" fillId="39" borderId="20" xfId="0" applyFont="1" applyFill="1" applyBorder="1"/>
    <xf numFmtId="0" fontId="26" fillId="38" borderId="20" xfId="0" applyFont="1" applyFill="1" applyBorder="1"/>
    <xf numFmtId="0" fontId="26" fillId="37" borderId="20" xfId="0" applyFont="1" applyFill="1" applyBorder="1"/>
    <xf numFmtId="0" fontId="26" fillId="42" borderId="20" xfId="0" applyFont="1" applyFill="1" applyBorder="1"/>
    <xf numFmtId="0" fontId="26" fillId="41" borderId="20" xfId="0" applyFont="1" applyFill="1" applyBorder="1"/>
    <xf numFmtId="0" fontId="27" fillId="48" borderId="0" xfId="0" applyFont="1" applyFill="1" applyAlignment="1">
      <alignment horizontal="justify" vertical="center" wrapText="1"/>
    </xf>
    <xf numFmtId="0" fontId="27" fillId="48" borderId="0" xfId="0" applyFont="1" applyFill="1" applyAlignment="1">
      <alignment horizontal="justify" vertical="center"/>
    </xf>
    <xf numFmtId="0" fontId="26" fillId="0" borderId="0" xfId="0" applyFont="1" applyAlignment="1">
      <alignment wrapText="1"/>
    </xf>
    <xf numFmtId="0" fontId="26" fillId="37" borderId="0" xfId="0" applyFont="1" applyFill="1"/>
    <xf numFmtId="0" fontId="27" fillId="37" borderId="0" xfId="0" applyFont="1" applyFill="1" applyAlignment="1">
      <alignment horizontal="justify" vertical="center" wrapText="1"/>
    </xf>
    <xf numFmtId="1" fontId="0" fillId="49" borderId="0" xfId="0" applyNumberFormat="1" applyFill="1"/>
    <xf numFmtId="0" fontId="0" fillId="46" borderId="0" xfId="0" applyFill="1" applyAlignment="1">
      <alignment horizontal="center" vertical="top" wrapText="1"/>
    </xf>
    <xf numFmtId="0" fontId="0" fillId="46" borderId="0" xfId="0" applyFill="1" applyAlignment="1">
      <alignment wrapText="1"/>
    </xf>
    <xf numFmtId="0" fontId="16" fillId="46" borderId="0" xfId="0" applyFont="1" applyFill="1" applyAlignment="1">
      <alignment horizontal="right"/>
    </xf>
    <xf numFmtId="0" fontId="28" fillId="0" borderId="0" xfId="0" applyFont="1" applyAlignment="1">
      <alignment wrapText="1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center" vertical="top" wrapText="1"/>
    </xf>
    <xf numFmtId="0" fontId="0" fillId="0" borderId="20" xfId="0" applyBorder="1" applyAlignment="1">
      <alignment horizontal="left" vertical="top" wrapText="1"/>
    </xf>
    <xf numFmtId="0" fontId="22" fillId="0" borderId="20" xfId="0" applyFont="1" applyBorder="1" applyAlignment="1">
      <alignment horizontal="center" vertical="center" wrapText="1"/>
    </xf>
    <xf numFmtId="0" fontId="0" fillId="46" borderId="20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41" fontId="0" fillId="0" borderId="20" xfId="42" applyFont="1" applyFill="1" applyBorder="1" applyAlignment="1">
      <alignment horizontal="center" vertical="center"/>
    </xf>
    <xf numFmtId="9" fontId="22" fillId="0" borderId="20" xfId="43" applyFont="1" applyFill="1" applyBorder="1" applyAlignment="1">
      <alignment horizontal="center" vertical="center"/>
    </xf>
    <xf numFmtId="9" fontId="14" fillId="0" borderId="20" xfId="43" applyFont="1" applyFill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" fontId="0" fillId="0" borderId="20" xfId="42" applyNumberFormat="1" applyFont="1" applyFill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9" fontId="0" fillId="0" borderId="20" xfId="43" applyFont="1" applyFill="1" applyBorder="1" applyAlignment="1">
      <alignment horizontal="center" vertical="center"/>
    </xf>
    <xf numFmtId="0" fontId="28" fillId="0" borderId="20" xfId="0" applyFont="1" applyBorder="1" applyAlignment="1">
      <alignment horizontal="center" wrapText="1"/>
    </xf>
    <xf numFmtId="0" fontId="29" fillId="0" borderId="20" xfId="0" applyFont="1" applyBorder="1" applyAlignment="1">
      <alignment horizontal="center" vertical="center" wrapText="1"/>
    </xf>
    <xf numFmtId="0" fontId="30" fillId="0" borderId="20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165" fontId="30" fillId="0" borderId="20" xfId="0" applyNumberFormat="1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/>
    </xf>
    <xf numFmtId="0" fontId="13" fillId="45" borderId="30" xfId="0" applyFont="1" applyFill="1" applyBorder="1" applyAlignment="1">
      <alignment horizontal="center"/>
    </xf>
    <xf numFmtId="0" fontId="13" fillId="45" borderId="0" xfId="0" applyFont="1" applyFill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8" fillId="0" borderId="14" xfId="0" applyFont="1" applyBorder="1" applyAlignment="1">
      <alignment horizontal="center" vertical="center" textRotation="90"/>
    </xf>
    <xf numFmtId="0" fontId="18" fillId="0" borderId="15" xfId="0" applyFont="1" applyBorder="1" applyAlignment="1">
      <alignment horizontal="center" vertical="center" textRotation="90"/>
    </xf>
    <xf numFmtId="0" fontId="18" fillId="0" borderId="16" xfId="0" applyFont="1" applyBorder="1" applyAlignment="1">
      <alignment horizontal="center" vertical="center" textRotation="90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" xfId="42" builtinId="6"/>
    <cellStyle name="Neutral" xfId="8" builtinId="28" customBuiltin="1"/>
    <cellStyle name="Normal" xfId="0" builtinId="0"/>
    <cellStyle name="Notas" xfId="15" builtinId="10" customBuiltin="1"/>
    <cellStyle name="Porcentaje" xfId="43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6">
    <dxf>
      <fill>
        <patternFill>
          <bgColor rgb="FFFF0000"/>
        </patternFill>
      </fill>
    </dxf>
    <dxf>
      <fill>
        <patternFill>
          <bgColor rgb="FFFB6725"/>
        </patternFill>
      </fill>
    </dxf>
    <dxf>
      <fill>
        <patternFill>
          <bgColor rgb="FFFFFF00"/>
        </patternFill>
      </fill>
    </dxf>
    <dxf>
      <fill>
        <patternFill>
          <bgColor rgb="FF33ED6D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9F3F"/>
        </patternFill>
      </fill>
    </dxf>
    <dxf>
      <fill>
        <patternFill>
          <bgColor rgb="FF36EA47"/>
        </patternFill>
      </fill>
    </dxf>
    <dxf>
      <fill>
        <patternFill>
          <bgColor rgb="FF00B050"/>
        </patternFill>
      </fill>
    </dxf>
    <dxf>
      <fill>
        <patternFill>
          <bgColor rgb="FF40E838"/>
        </patternFill>
      </fill>
    </dxf>
    <dxf>
      <fill>
        <patternFill>
          <bgColor rgb="FF00B050"/>
        </patternFill>
      </fill>
    </dxf>
    <dxf>
      <fill>
        <patternFill>
          <bgColor rgb="FF3BF32D"/>
        </patternFill>
      </fill>
    </dxf>
    <dxf>
      <fill>
        <patternFill>
          <bgColor rgb="FFFFFF00"/>
        </patternFill>
      </fill>
    </dxf>
    <dxf>
      <fill>
        <patternFill>
          <bgColor rgb="FFFD860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D8603"/>
        </patternFill>
      </fill>
    </dxf>
    <dxf>
      <fill>
        <patternFill>
          <bgColor rgb="FFFFFF00"/>
        </patternFill>
      </fill>
    </dxf>
    <dxf>
      <fill>
        <patternFill>
          <bgColor rgb="FF3BF32D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C762C"/>
        </patternFill>
      </fill>
    </dxf>
    <dxf>
      <fill>
        <patternFill>
          <bgColor rgb="FFFD8603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64F289"/>
        </patternFill>
      </fill>
    </dxf>
    <dxf>
      <fill>
        <patternFill>
          <bgColor rgb="FF3BF32D"/>
        </patternFill>
      </fill>
    </dxf>
    <dxf>
      <fill>
        <patternFill>
          <bgColor rgb="FF00B050"/>
        </patternFill>
      </fill>
    </dxf>
    <dxf>
      <fill>
        <patternFill>
          <bgColor rgb="FF64F289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C762C"/>
        </patternFill>
      </fill>
    </dxf>
    <dxf>
      <fill>
        <patternFill>
          <bgColor rgb="FFFFFF00"/>
        </patternFill>
      </fill>
    </dxf>
    <dxf>
      <fill>
        <patternFill>
          <bgColor rgb="FFFD8603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3BF32D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3BF32D"/>
        </patternFill>
      </fill>
    </dxf>
    <dxf>
      <fill>
        <patternFill>
          <bgColor rgb="FFFD8603"/>
        </patternFill>
      </fill>
    </dxf>
    <dxf>
      <font>
        <b val="0"/>
        <i val="0"/>
      </font>
      <fill>
        <patternFill>
          <bgColor rgb="FFFFFF00"/>
        </patternFill>
      </fill>
    </dxf>
    <dxf>
      <fill>
        <patternFill>
          <bgColor rgb="FF3BF32D"/>
        </patternFill>
      </fill>
    </dxf>
    <dxf>
      <fill>
        <patternFill>
          <bgColor rgb="FFFD8603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3BF32D"/>
        </patternFill>
      </fill>
    </dxf>
    <dxf>
      <fill>
        <patternFill>
          <bgColor rgb="FFFFFF00"/>
        </patternFill>
      </fill>
    </dxf>
    <dxf>
      <fill>
        <patternFill>
          <bgColor rgb="FFFD8603"/>
        </patternFill>
      </fill>
    </dxf>
  </dxfs>
  <tableStyles count="0" defaultTableStyle="TableStyleMedium2" defaultPivotStyle="PivotStyleLight16"/>
  <colors>
    <mruColors>
      <color rgb="FF21FF85"/>
      <color rgb="FF3BF32D"/>
      <color rgb="FFFD8603"/>
      <color rgb="FF40E838"/>
      <color rgb="FF33ED6D"/>
      <color rgb="FFFB6725"/>
      <color rgb="FFFF9F3F"/>
      <color rgb="FF36EA47"/>
      <color rgb="FFFC4B04"/>
      <color rgb="FF64F2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L52"/>
  <sheetViews>
    <sheetView tabSelected="1" zoomScale="115" zoomScaleNormal="115" workbookViewId="0">
      <pane xSplit="3" ySplit="6" topLeftCell="D7" activePane="bottomRight" state="frozen"/>
      <selection pane="topRight" activeCell="D1" sqref="D1"/>
      <selection pane="bottomLeft" activeCell="A5" sqref="A5"/>
      <selection pane="bottomRight" activeCell="D3" sqref="D3:Q4"/>
    </sheetView>
  </sheetViews>
  <sheetFormatPr baseColWidth="10" defaultRowHeight="14.4" x14ac:dyDescent="0.3"/>
  <cols>
    <col min="1" max="1" width="4.21875" customWidth="1"/>
    <col min="2" max="2" width="14.5546875" style="1" customWidth="1"/>
    <col min="3" max="3" width="43.5546875" style="1" customWidth="1"/>
    <col min="4" max="4" width="47.5546875" style="1" customWidth="1"/>
    <col min="5" max="5" width="12.5546875" customWidth="1"/>
    <col min="6" max="6" width="15.44140625" style="48" customWidth="1"/>
    <col min="7" max="7" width="13.21875" style="11" customWidth="1"/>
    <col min="8" max="8" width="10.21875" style="11" customWidth="1"/>
    <col min="9" max="9" width="1" style="68" customWidth="1"/>
    <col min="10" max="10" width="11.44140625" customWidth="1"/>
    <col min="11" max="11" width="10.21875" style="11" customWidth="1"/>
    <col min="12" max="12" width="1" style="11" customWidth="1"/>
    <col min="13" max="13" width="11.44140625" style="11" customWidth="1"/>
    <col min="14" max="14" width="24.77734375" style="1" customWidth="1"/>
    <col min="15" max="16" width="16.21875" style="1" customWidth="1"/>
    <col min="17" max="17" width="21.77734375" bestFit="1" customWidth="1"/>
    <col min="18" max="19" width="8.21875" hidden="1" customWidth="1"/>
    <col min="20" max="20" width="8" hidden="1" customWidth="1"/>
    <col min="21" max="21" width="11.44140625" customWidth="1"/>
    <col min="22" max="22" width="1.77734375" customWidth="1"/>
    <col min="23" max="23" width="10.21875" hidden="1" customWidth="1"/>
    <col min="24" max="24" width="13" hidden="1" customWidth="1"/>
    <col min="25" max="25" width="11.44140625" hidden="1" customWidth="1"/>
    <col min="26" max="26" width="11.44140625" customWidth="1"/>
    <col min="27" max="27" width="2" customWidth="1"/>
    <col min="28" max="28" width="9.44140625" hidden="1" customWidth="1"/>
    <col min="29" max="30" width="7" hidden="1" customWidth="1"/>
    <col min="31" max="31" width="11.44140625" hidden="1" customWidth="1"/>
    <col min="32" max="32" width="10.21875" style="67" customWidth="1"/>
    <col min="33" max="33" width="2.21875" customWidth="1"/>
  </cols>
  <sheetData>
    <row r="2" spans="1:38" s="103" customFormat="1" ht="30" customHeight="1" x14ac:dyDescent="0.25">
      <c r="A2" s="117" t="e" vm="1">
        <v>#VALUE!</v>
      </c>
      <c r="B2" s="117"/>
      <c r="C2" s="117"/>
      <c r="D2" s="118" t="s">
        <v>251</v>
      </c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9" t="s">
        <v>250</v>
      </c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</row>
    <row r="3" spans="1:38" s="103" customFormat="1" ht="30" customHeight="1" x14ac:dyDescent="0.25">
      <c r="A3" s="117"/>
      <c r="B3" s="117"/>
      <c r="C3" s="117"/>
      <c r="D3" s="120" t="s">
        <v>249</v>
      </c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19" t="s">
        <v>247</v>
      </c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</row>
    <row r="4" spans="1:38" s="103" customFormat="1" ht="30" customHeight="1" x14ac:dyDescent="0.25">
      <c r="A4" s="117"/>
      <c r="B4" s="117"/>
      <c r="C4" s="117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1" t="s">
        <v>248</v>
      </c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03">
        <f>SUMIF(AH5:AH50,"&gt;0")</f>
        <v>56</v>
      </c>
      <c r="AJ4" s="103">
        <f>COUNTIF(AH5:AH50,"&gt;0")</f>
        <v>19</v>
      </c>
    </row>
    <row r="5" spans="1:38" ht="25.5" customHeight="1" x14ac:dyDescent="0.3">
      <c r="A5" s="100">
        <f>SUBTOTAL(2,A7:A29)</f>
        <v>23</v>
      </c>
      <c r="B5" s="100"/>
      <c r="C5" s="101"/>
      <c r="D5" s="101"/>
      <c r="E5" s="67"/>
      <c r="F5" s="69"/>
      <c r="G5" s="68"/>
      <c r="H5" s="68"/>
      <c r="J5" s="67"/>
      <c r="K5" s="68"/>
      <c r="L5" s="68"/>
      <c r="M5" s="68">
        <f>SUBTOTAL(101,M7:M21)</f>
        <v>7.4666666666666668</v>
      </c>
      <c r="N5" s="101"/>
      <c r="O5" s="101"/>
      <c r="P5" s="101"/>
      <c r="Q5" s="67"/>
      <c r="R5" s="67"/>
      <c r="S5" s="67"/>
      <c r="T5" s="67"/>
      <c r="U5" s="102" t="s">
        <v>87</v>
      </c>
      <c r="V5" s="102"/>
      <c r="W5" s="67"/>
      <c r="X5" s="67"/>
      <c r="Y5" s="67"/>
      <c r="Z5" s="67"/>
      <c r="AA5" s="67"/>
      <c r="AB5" s="67"/>
      <c r="AC5" s="67"/>
      <c r="AD5" s="67"/>
      <c r="AE5" s="67"/>
      <c r="AH5" s="99" t="e">
        <f>ROUND(#REF!,0)</f>
        <v>#REF!</v>
      </c>
    </row>
    <row r="6" spans="1:38" s="48" customFormat="1" ht="24" x14ac:dyDescent="0.3">
      <c r="A6" s="43" t="s">
        <v>26</v>
      </c>
      <c r="B6" s="43" t="s">
        <v>23</v>
      </c>
      <c r="C6" s="43" t="s">
        <v>0</v>
      </c>
      <c r="D6" s="43" t="s">
        <v>1</v>
      </c>
      <c r="E6" s="43" t="s">
        <v>2</v>
      </c>
      <c r="F6" s="43" t="s">
        <v>3</v>
      </c>
      <c r="G6" s="44" t="s">
        <v>4</v>
      </c>
      <c r="H6" s="44" t="s">
        <v>35</v>
      </c>
      <c r="I6" s="66"/>
      <c r="J6" s="44" t="s">
        <v>5</v>
      </c>
      <c r="K6" s="44" t="s">
        <v>35</v>
      </c>
      <c r="L6" s="66"/>
      <c r="M6" s="45" t="s">
        <v>6</v>
      </c>
      <c r="N6" s="46" t="s">
        <v>71</v>
      </c>
      <c r="O6" s="46" t="s">
        <v>72</v>
      </c>
      <c r="P6" s="46" t="s">
        <v>73</v>
      </c>
      <c r="Q6" s="46" t="s">
        <v>7</v>
      </c>
      <c r="R6" s="46"/>
      <c r="S6" s="46"/>
      <c r="T6" s="46"/>
      <c r="U6" s="46" t="s">
        <v>8</v>
      </c>
      <c r="V6" s="74"/>
      <c r="W6" s="44" t="s">
        <v>75</v>
      </c>
      <c r="X6" s="44" t="s">
        <v>76</v>
      </c>
      <c r="Y6" s="44" t="s">
        <v>92</v>
      </c>
      <c r="Z6" s="44" t="s">
        <v>92</v>
      </c>
      <c r="AA6" s="74"/>
      <c r="AB6" s="44" t="s">
        <v>77</v>
      </c>
      <c r="AC6" s="44" t="s">
        <v>78</v>
      </c>
      <c r="AD6" s="44" t="s">
        <v>213</v>
      </c>
      <c r="AE6" s="44" t="s">
        <v>93</v>
      </c>
      <c r="AF6" s="44" t="s">
        <v>93</v>
      </c>
      <c r="AG6" s="74"/>
      <c r="AH6" s="47" t="s">
        <v>9</v>
      </c>
    </row>
    <row r="7" spans="1:38" s="48" customFormat="1" ht="28.8" x14ac:dyDescent="0.3">
      <c r="A7" s="104">
        <v>1</v>
      </c>
      <c r="B7" s="105" t="s">
        <v>243</v>
      </c>
      <c r="C7" s="106" t="s">
        <v>232</v>
      </c>
      <c r="D7" s="106" t="s">
        <v>170</v>
      </c>
      <c r="E7" s="104" t="s">
        <v>18</v>
      </c>
      <c r="F7" s="104" t="s">
        <v>215</v>
      </c>
      <c r="G7" s="107" t="s">
        <v>14</v>
      </c>
      <c r="H7" s="104">
        <f>IF(G7="Raro",1,IF(G7="Poco Probable",2,IF(G7="Posible",3,IF(G7="Muy Probable",4,IF(G7="Casi seguro",5," ")))))</f>
        <v>3</v>
      </c>
      <c r="I7" s="108"/>
      <c r="J7" s="107" t="s">
        <v>31</v>
      </c>
      <c r="K7" s="104">
        <f>IF(J7="Muy Bajo",1,IF(J7="Bajo",2,IF(J7="Medio",3,IF(J7="Alto",4,IF(J7="Muy Alto",5," ")))))</f>
        <v>4</v>
      </c>
      <c r="L7" s="104"/>
      <c r="M7" s="104">
        <f>IFERROR(+H7*K7," ")</f>
        <v>12</v>
      </c>
      <c r="N7" s="109" t="s">
        <v>238</v>
      </c>
      <c r="O7" s="109" t="s">
        <v>140</v>
      </c>
      <c r="P7" s="109" t="s">
        <v>156</v>
      </c>
      <c r="Q7" s="109" t="s">
        <v>91</v>
      </c>
      <c r="R7" s="110">
        <f>IFERROR(VLOOKUP(N7,'Calificación Controles'!$B$7:$AB$36,27,0)," ")</f>
        <v>70</v>
      </c>
      <c r="S7" s="110">
        <f>IFERROR(VLOOKUP(O7,'Calificación Controles'!$B$7:$AB$36,27,0)," ")</f>
        <v>71.5</v>
      </c>
      <c r="T7" s="110">
        <f>IFERROR(VLOOKUP(P7,'Calificación Controles'!$B$7:$AB$36,27,0), " ")</f>
        <v>0</v>
      </c>
      <c r="U7" s="111">
        <f>IFERROR(((R7+S7+T7)/3)/100," ")</f>
        <v>0.47166666666666662</v>
      </c>
      <c r="V7" s="112"/>
      <c r="W7" s="113">
        <f>IFERROR(IF(Q7="PROBABILIDAD",H7-(H7*U7),H7), " ")</f>
        <v>3</v>
      </c>
      <c r="X7" s="113">
        <f>IFERROR(IF(Q7="PROBABILIDAD E IMPACTO",H7*U7,0), " ")</f>
        <v>1.4149999999999998</v>
      </c>
      <c r="Y7" s="114">
        <f>IFERROR(+W7-X7, " ")</f>
        <v>1.5850000000000002</v>
      </c>
      <c r="Z7" s="104">
        <f t="shared" ref="Z7:Z27" si="0">IFERROR(ROUND(IF(Y7&lt;=1,1,IF(Y7&gt;1,Y7," ")),0)," ")</f>
        <v>2</v>
      </c>
      <c r="AA7" s="114"/>
      <c r="AB7" s="114">
        <f>IFERROR(IF(Q7="IMPACTO",K7-(K7*U7),K7), " ")</f>
        <v>4</v>
      </c>
      <c r="AC7" s="115">
        <f>IFERROR(IF(Q7="PROBABILIDAD E IMPACTO",K7*U7,0)," ")</f>
        <v>1.8866666666666665</v>
      </c>
      <c r="AD7" s="115"/>
      <c r="AE7" s="114">
        <f>IFERROR(+AB7-AC7," ")</f>
        <v>2.1133333333333333</v>
      </c>
      <c r="AF7" s="104">
        <f>IFERROR(ROUND(IF(AE7&lt;=1,1,IF(AE7&gt;1,AE7," ")),0)," ")</f>
        <v>2</v>
      </c>
      <c r="AG7" s="114"/>
      <c r="AH7" s="115">
        <f>IFERROR(ROUND(+Z7*AF7,0),0)</f>
        <v>4</v>
      </c>
    </row>
    <row r="8" spans="1:38" s="48" customFormat="1" ht="28.8" x14ac:dyDescent="0.3">
      <c r="A8" s="104">
        <f>A7+1</f>
        <v>2</v>
      </c>
      <c r="B8" s="105" t="s">
        <v>243</v>
      </c>
      <c r="C8" s="106" t="s">
        <v>232</v>
      </c>
      <c r="D8" s="106" t="s">
        <v>172</v>
      </c>
      <c r="E8" s="104" t="s">
        <v>21</v>
      </c>
      <c r="F8" s="104" t="s">
        <v>215</v>
      </c>
      <c r="G8" s="107" t="s">
        <v>14</v>
      </c>
      <c r="H8" s="104">
        <f t="shared" ref="H8:H52" si="1">IF(G8="Raro",1,IF(G8="Poco Probable",2,IF(G8="Posible",3,IF(G8="Muy Probable",4,IF(G8="Casi seguro",5," ")))))</f>
        <v>3</v>
      </c>
      <c r="I8" s="108"/>
      <c r="J8" s="107" t="s">
        <v>32</v>
      </c>
      <c r="K8" s="104">
        <f t="shared" ref="K8:K52" si="2">IF(J8="Muy Bajo",1,IF(J8="Bajo",2,IF(J8="Medio",3,IF(J8="Alto",4,IF(J8="Muy Alto",5," ")))))</f>
        <v>3</v>
      </c>
      <c r="L8" s="104"/>
      <c r="M8" s="104">
        <f>IFERROR(+H8*K8," ")</f>
        <v>9</v>
      </c>
      <c r="N8" s="109" t="s">
        <v>139</v>
      </c>
      <c r="O8" s="109" t="s">
        <v>136</v>
      </c>
      <c r="P8" s="109" t="s">
        <v>156</v>
      </c>
      <c r="Q8" s="109" t="s">
        <v>27</v>
      </c>
      <c r="R8" s="110">
        <f>IFERROR(VLOOKUP(N8,'Calificación Controles'!$B$7:$AB$36,27,0)," ")</f>
        <v>64</v>
      </c>
      <c r="S8" s="110">
        <f>IFERROR(VLOOKUP(O8,'Calificación Controles'!$B$7:$AB$36,27,0)," ")</f>
        <v>70</v>
      </c>
      <c r="T8" s="110">
        <f>IFERROR(VLOOKUP(P8,'Calificación Controles'!$B$7:$AB$36,27,0), " ")</f>
        <v>0</v>
      </c>
      <c r="U8" s="111">
        <f>IFERROR(((R8+S8+T8)/3)/100," ")</f>
        <v>0.44666666666666666</v>
      </c>
      <c r="V8" s="112"/>
      <c r="W8" s="113">
        <f t="shared" ref="W8:W52" si="3">IFERROR(IF(Q8="PROBABILIDAD",H8-(H8*U8),H8), " ")</f>
        <v>1.6600000000000001</v>
      </c>
      <c r="X8" s="113">
        <f t="shared" ref="X8:X52" si="4">IFERROR(IF(Q8="PROBABILIDAD E IMPACTO",H8*U8,0), " ")</f>
        <v>0</v>
      </c>
      <c r="Y8" s="114">
        <f t="shared" ref="Y8:Y52" si="5">IFERROR(+W8-X8, " ")</f>
        <v>1.6600000000000001</v>
      </c>
      <c r="Z8" s="104">
        <f t="shared" si="0"/>
        <v>2</v>
      </c>
      <c r="AA8" s="114"/>
      <c r="AB8" s="114">
        <f t="shared" ref="AB8:AB52" si="6">IFERROR(IF(Q8="IMPACTO",K8-(K8*U8),K8), " ")</f>
        <v>3</v>
      </c>
      <c r="AC8" s="115">
        <f t="shared" ref="AC8:AC52" si="7">IFERROR(IF(Q8="PROBABILIDAD E IMPACTO",K8*U8,0)," ")</f>
        <v>0</v>
      </c>
      <c r="AD8" s="115"/>
      <c r="AE8" s="114">
        <f t="shared" ref="AE8:AE52" si="8">IFERROR(+AB8-AC8," ")</f>
        <v>3</v>
      </c>
      <c r="AF8" s="104">
        <f t="shared" ref="AF8:AF34" si="9">IFERROR(ROUND(IF(AE8&lt;=1,1,IF(AE8&gt;1,AE8," ")),0)," ")</f>
        <v>3</v>
      </c>
      <c r="AG8" s="114"/>
      <c r="AH8" s="115">
        <f>IFERROR(ROUNDUP(+Y8*AE8,0),0)</f>
        <v>5</v>
      </c>
    </row>
    <row r="9" spans="1:38" s="48" customFormat="1" ht="43.2" x14ac:dyDescent="0.3">
      <c r="A9" s="104">
        <f t="shared" ref="A9:A52" si="10">A8+1</f>
        <v>3</v>
      </c>
      <c r="B9" s="105" t="s">
        <v>242</v>
      </c>
      <c r="C9" s="106" t="s">
        <v>112</v>
      </c>
      <c r="D9" s="106" t="s">
        <v>174</v>
      </c>
      <c r="E9" s="104" t="s">
        <v>21</v>
      </c>
      <c r="F9" s="104" t="s">
        <v>25</v>
      </c>
      <c r="G9" s="107" t="s">
        <v>14</v>
      </c>
      <c r="H9" s="104">
        <f t="shared" si="1"/>
        <v>3</v>
      </c>
      <c r="I9" s="108"/>
      <c r="J9" s="107" t="s">
        <v>32</v>
      </c>
      <c r="K9" s="104">
        <f t="shared" si="2"/>
        <v>3</v>
      </c>
      <c r="L9" s="104"/>
      <c r="M9" s="104">
        <f>IFERROR(+H9*K9," ")</f>
        <v>9</v>
      </c>
      <c r="N9" s="109" t="s">
        <v>145</v>
      </c>
      <c r="O9" s="109" t="s">
        <v>148</v>
      </c>
      <c r="P9" s="109" t="s">
        <v>156</v>
      </c>
      <c r="Q9" s="109" t="s">
        <v>27</v>
      </c>
      <c r="R9" s="110">
        <f>IFERROR(VLOOKUP(N9,'Calificación Controles'!$B$7:$AB$36,27,0)," ")</f>
        <v>82.5</v>
      </c>
      <c r="S9" s="110">
        <f>IFERROR(VLOOKUP(O9,'Calificación Controles'!$B$7:$AB$36,27,0)," ")</f>
        <v>71.5</v>
      </c>
      <c r="T9" s="110">
        <f>IFERROR(VLOOKUP(P9,'Calificación Controles'!$B$7:$AB$36,27,0), " ")</f>
        <v>0</v>
      </c>
      <c r="U9" s="111">
        <f t="shared" ref="U9:U52" si="11">IFERROR(((R9+S9+T9)/3)/100," ")</f>
        <v>0.51333333333333331</v>
      </c>
      <c r="V9" s="116"/>
      <c r="W9" s="113">
        <f t="shared" si="3"/>
        <v>1.46</v>
      </c>
      <c r="X9" s="113">
        <f t="shared" si="4"/>
        <v>0</v>
      </c>
      <c r="Y9" s="114">
        <f t="shared" si="5"/>
        <v>1.46</v>
      </c>
      <c r="Z9" s="104">
        <f t="shared" si="0"/>
        <v>1</v>
      </c>
      <c r="AA9" s="114"/>
      <c r="AB9" s="114">
        <f t="shared" si="6"/>
        <v>3</v>
      </c>
      <c r="AC9" s="115">
        <f t="shared" si="7"/>
        <v>0</v>
      </c>
      <c r="AD9" s="115"/>
      <c r="AE9" s="114">
        <f t="shared" si="8"/>
        <v>3</v>
      </c>
      <c r="AF9" s="104">
        <f t="shared" si="9"/>
        <v>3</v>
      </c>
      <c r="AG9" s="114"/>
      <c r="AH9" s="115">
        <f t="shared" ref="AH9:AH52" si="12">IFERROR(ROUNDUP(+Y9*AE9,0),0)</f>
        <v>5</v>
      </c>
    </row>
    <row r="10" spans="1:38" s="48" customFormat="1" ht="43.2" x14ac:dyDescent="0.3">
      <c r="A10" s="104">
        <f t="shared" si="10"/>
        <v>4</v>
      </c>
      <c r="B10" s="105" t="s">
        <v>242</v>
      </c>
      <c r="C10" s="106" t="s">
        <v>112</v>
      </c>
      <c r="D10" s="106" t="s">
        <v>223</v>
      </c>
      <c r="E10" s="104" t="s">
        <v>18</v>
      </c>
      <c r="F10" s="104" t="s">
        <v>25</v>
      </c>
      <c r="G10" s="104" t="s">
        <v>12</v>
      </c>
      <c r="H10" s="104">
        <f t="shared" si="1"/>
        <v>1</v>
      </c>
      <c r="I10" s="108"/>
      <c r="J10" s="107" t="s">
        <v>32</v>
      </c>
      <c r="K10" s="104">
        <f t="shared" si="2"/>
        <v>3</v>
      </c>
      <c r="L10" s="104"/>
      <c r="M10" s="104">
        <f>IFERROR(+H10*K10," ")</f>
        <v>3</v>
      </c>
      <c r="N10" s="109" t="s">
        <v>240</v>
      </c>
      <c r="O10" s="109" t="s">
        <v>139</v>
      </c>
      <c r="P10" s="109" t="s">
        <v>156</v>
      </c>
      <c r="Q10" s="109" t="s">
        <v>27</v>
      </c>
      <c r="R10" s="110">
        <f>IFERROR(VLOOKUP(N10,'Calificación Controles'!$B$7:$AB$36,27,0)," ")</f>
        <v>76.5</v>
      </c>
      <c r="S10" s="110">
        <f>IFERROR(VLOOKUP(O10,'Calificación Controles'!$B$7:$AB$36,27,0)," ")</f>
        <v>64</v>
      </c>
      <c r="T10" s="110">
        <f>IFERROR(VLOOKUP(P10,'Calificación Controles'!$B$7:$AB$36,27,0), " ")</f>
        <v>0</v>
      </c>
      <c r="U10" s="111">
        <f t="shared" si="11"/>
        <v>0.46833333333333338</v>
      </c>
      <c r="V10" s="112"/>
      <c r="W10" s="113">
        <f t="shared" si="3"/>
        <v>0.53166666666666662</v>
      </c>
      <c r="X10" s="113">
        <f t="shared" si="4"/>
        <v>0</v>
      </c>
      <c r="Y10" s="114">
        <f t="shared" si="5"/>
        <v>0.53166666666666662</v>
      </c>
      <c r="Z10" s="104">
        <f t="shared" si="0"/>
        <v>1</v>
      </c>
      <c r="AA10" s="114"/>
      <c r="AB10" s="114">
        <f t="shared" si="6"/>
        <v>3</v>
      </c>
      <c r="AC10" s="115">
        <f t="shared" si="7"/>
        <v>0</v>
      </c>
      <c r="AD10" s="115"/>
      <c r="AE10" s="114">
        <f t="shared" si="8"/>
        <v>3</v>
      </c>
      <c r="AF10" s="104">
        <f t="shared" si="9"/>
        <v>3</v>
      </c>
      <c r="AG10" s="114"/>
      <c r="AH10" s="115">
        <f t="shared" si="12"/>
        <v>2</v>
      </c>
    </row>
    <row r="11" spans="1:38" s="48" customFormat="1" ht="43.2" x14ac:dyDescent="0.3">
      <c r="A11" s="104">
        <f t="shared" si="10"/>
        <v>5</v>
      </c>
      <c r="B11" s="105" t="s">
        <v>242</v>
      </c>
      <c r="C11" s="106" t="s">
        <v>108</v>
      </c>
      <c r="D11" s="106" t="s">
        <v>173</v>
      </c>
      <c r="E11" s="104" t="s">
        <v>21</v>
      </c>
      <c r="F11" s="104" t="s">
        <v>25</v>
      </c>
      <c r="G11" s="104" t="s">
        <v>14</v>
      </c>
      <c r="H11" s="104">
        <f t="shared" si="1"/>
        <v>3</v>
      </c>
      <c r="I11" s="108"/>
      <c r="J11" s="107" t="s">
        <v>32</v>
      </c>
      <c r="K11" s="104">
        <f t="shared" si="2"/>
        <v>3</v>
      </c>
      <c r="L11" s="104"/>
      <c r="M11" s="104">
        <f t="shared" ref="M11:M52" si="13">IFERROR(+H11*K11," ")</f>
        <v>9</v>
      </c>
      <c r="N11" s="109" t="s">
        <v>143</v>
      </c>
      <c r="O11" s="109" t="s">
        <v>136</v>
      </c>
      <c r="P11" s="109" t="s">
        <v>153</v>
      </c>
      <c r="Q11" s="109" t="s">
        <v>27</v>
      </c>
      <c r="R11" s="110">
        <f>IFERROR(VLOOKUP(N11,'Calificación Controles'!$B$7:$AB$36,27,0)," ")</f>
        <v>56.5</v>
      </c>
      <c r="S11" s="110">
        <f>IFERROR(VLOOKUP(O11,'Calificación Controles'!$B$7:$AB$36,27,0)," ")</f>
        <v>70</v>
      </c>
      <c r="T11" s="110">
        <f>IFERROR(VLOOKUP(P11,'Calificación Controles'!$B$7:$AB$36,27,0), " ")</f>
        <v>90</v>
      </c>
      <c r="U11" s="111">
        <f t="shared" si="11"/>
        <v>0.72166666666666668</v>
      </c>
      <c r="V11" s="116"/>
      <c r="W11" s="113">
        <f t="shared" si="3"/>
        <v>0.83499999999999996</v>
      </c>
      <c r="X11" s="113">
        <f t="shared" si="4"/>
        <v>0</v>
      </c>
      <c r="Y11" s="114">
        <f t="shared" si="5"/>
        <v>0.83499999999999996</v>
      </c>
      <c r="Z11" s="104">
        <f t="shared" si="0"/>
        <v>1</v>
      </c>
      <c r="AA11" s="114"/>
      <c r="AB11" s="114">
        <f t="shared" si="6"/>
        <v>3</v>
      </c>
      <c r="AC11" s="115">
        <f t="shared" si="7"/>
        <v>0</v>
      </c>
      <c r="AD11" s="115"/>
      <c r="AE11" s="114">
        <f t="shared" si="8"/>
        <v>3</v>
      </c>
      <c r="AF11" s="104">
        <f t="shared" si="9"/>
        <v>3</v>
      </c>
      <c r="AG11" s="114"/>
      <c r="AH11" s="115">
        <f t="shared" si="12"/>
        <v>3</v>
      </c>
    </row>
    <row r="12" spans="1:38" s="48" customFormat="1" ht="43.2" x14ac:dyDescent="0.3">
      <c r="A12" s="104">
        <f t="shared" si="10"/>
        <v>6</v>
      </c>
      <c r="B12" s="105" t="s">
        <v>242</v>
      </c>
      <c r="C12" s="106" t="s">
        <v>108</v>
      </c>
      <c r="D12" s="106" t="s">
        <v>224</v>
      </c>
      <c r="E12" s="104" t="s">
        <v>18</v>
      </c>
      <c r="F12" s="104" t="s">
        <v>25</v>
      </c>
      <c r="G12" s="104" t="s">
        <v>16</v>
      </c>
      <c r="H12" s="104">
        <f t="shared" si="1"/>
        <v>2</v>
      </c>
      <c r="I12" s="108"/>
      <c r="J12" s="107" t="s">
        <v>32</v>
      </c>
      <c r="K12" s="104">
        <f t="shared" si="2"/>
        <v>3</v>
      </c>
      <c r="L12" s="104"/>
      <c r="M12" s="104">
        <f t="shared" si="13"/>
        <v>6</v>
      </c>
      <c r="N12" s="109" t="s">
        <v>151</v>
      </c>
      <c r="O12" s="109" t="s">
        <v>228</v>
      </c>
      <c r="P12" s="109" t="s">
        <v>156</v>
      </c>
      <c r="Q12" s="109" t="s">
        <v>27</v>
      </c>
      <c r="R12" s="110">
        <f>IFERROR(VLOOKUP(N12,'Calificación Controles'!$B$7:$AB$36,27,0)," ")</f>
        <v>82.5</v>
      </c>
      <c r="S12" s="110">
        <f>IFERROR(VLOOKUP(O12,'Calificación Controles'!$B$7:$AB$36,27,0)," ")</f>
        <v>82.5</v>
      </c>
      <c r="T12" s="110">
        <f>IFERROR(VLOOKUP(P12,'Calificación Controles'!$B$7:$AB$36,27,0), " ")</f>
        <v>0</v>
      </c>
      <c r="U12" s="111">
        <f t="shared" si="11"/>
        <v>0.55000000000000004</v>
      </c>
      <c r="V12" s="116"/>
      <c r="W12" s="113">
        <f t="shared" si="3"/>
        <v>0.89999999999999991</v>
      </c>
      <c r="X12" s="113">
        <f t="shared" si="4"/>
        <v>0</v>
      </c>
      <c r="Y12" s="114">
        <f t="shared" si="5"/>
        <v>0.89999999999999991</v>
      </c>
      <c r="Z12" s="104">
        <f t="shared" si="0"/>
        <v>1</v>
      </c>
      <c r="AA12" s="114"/>
      <c r="AB12" s="114">
        <f t="shared" si="6"/>
        <v>3</v>
      </c>
      <c r="AC12" s="115">
        <f t="shared" si="7"/>
        <v>0</v>
      </c>
      <c r="AD12" s="115"/>
      <c r="AE12" s="114">
        <f t="shared" si="8"/>
        <v>3</v>
      </c>
      <c r="AF12" s="104">
        <f t="shared" si="9"/>
        <v>3</v>
      </c>
      <c r="AG12" s="114"/>
      <c r="AH12" s="115">
        <f t="shared" si="12"/>
        <v>3</v>
      </c>
    </row>
    <row r="13" spans="1:38" s="48" customFormat="1" ht="43.2" x14ac:dyDescent="0.3">
      <c r="A13" s="104">
        <f t="shared" si="10"/>
        <v>7</v>
      </c>
      <c r="B13" s="105" t="s">
        <v>242</v>
      </c>
      <c r="C13" s="106" t="s">
        <v>216</v>
      </c>
      <c r="D13" s="106" t="s">
        <v>184</v>
      </c>
      <c r="E13" s="104" t="s">
        <v>21</v>
      </c>
      <c r="F13" s="104" t="s">
        <v>25</v>
      </c>
      <c r="G13" s="104" t="s">
        <v>14</v>
      </c>
      <c r="H13" s="104">
        <f t="shared" si="1"/>
        <v>3</v>
      </c>
      <c r="I13" s="108"/>
      <c r="J13" s="107" t="s">
        <v>34</v>
      </c>
      <c r="K13" s="104">
        <f t="shared" si="2"/>
        <v>1</v>
      </c>
      <c r="L13" s="104"/>
      <c r="M13" s="104">
        <f t="shared" si="13"/>
        <v>3</v>
      </c>
      <c r="N13" s="109" t="s">
        <v>144</v>
      </c>
      <c r="O13" s="109" t="s">
        <v>135</v>
      </c>
      <c r="P13" s="109" t="s">
        <v>134</v>
      </c>
      <c r="Q13" s="109" t="s">
        <v>91</v>
      </c>
      <c r="R13" s="110">
        <f>IFERROR(VLOOKUP(N13,'Calificación Controles'!$B$7:$AB$36,27,0)," ")</f>
        <v>64</v>
      </c>
      <c r="S13" s="110">
        <f>IFERROR(VLOOKUP(O13,'Calificación Controles'!$B$7:$AB$36,27,0)," ")</f>
        <v>49.5</v>
      </c>
      <c r="T13" s="110">
        <f>IFERROR(VLOOKUP(P13,'Calificación Controles'!$B$7:$AB$36,27,0), " ")</f>
        <v>71.5</v>
      </c>
      <c r="U13" s="111">
        <f t="shared" si="11"/>
        <v>0.6166666666666667</v>
      </c>
      <c r="V13" s="116"/>
      <c r="W13" s="113">
        <f t="shared" si="3"/>
        <v>3</v>
      </c>
      <c r="X13" s="113">
        <f t="shared" si="4"/>
        <v>1.85</v>
      </c>
      <c r="Y13" s="114">
        <f t="shared" si="5"/>
        <v>1.1499999999999999</v>
      </c>
      <c r="Z13" s="104">
        <f t="shared" si="0"/>
        <v>1</v>
      </c>
      <c r="AA13" s="114"/>
      <c r="AB13" s="114">
        <f t="shared" si="6"/>
        <v>1</v>
      </c>
      <c r="AC13" s="115">
        <f t="shared" si="7"/>
        <v>0.6166666666666667</v>
      </c>
      <c r="AD13" s="115"/>
      <c r="AE13" s="114">
        <f t="shared" si="8"/>
        <v>0.3833333333333333</v>
      </c>
      <c r="AF13" s="104">
        <f t="shared" si="9"/>
        <v>1</v>
      </c>
      <c r="AG13" s="114"/>
      <c r="AH13" s="115">
        <f t="shared" si="12"/>
        <v>1</v>
      </c>
      <c r="AL13" s="57"/>
    </row>
    <row r="14" spans="1:38" s="48" customFormat="1" ht="57.6" x14ac:dyDescent="0.3">
      <c r="A14" s="104">
        <f t="shared" si="10"/>
        <v>8</v>
      </c>
      <c r="B14" s="105" t="s">
        <v>242</v>
      </c>
      <c r="C14" s="106" t="s">
        <v>113</v>
      </c>
      <c r="D14" s="106" t="s">
        <v>205</v>
      </c>
      <c r="E14" s="104" t="s">
        <v>21</v>
      </c>
      <c r="F14" s="104" t="s">
        <v>215</v>
      </c>
      <c r="G14" s="104" t="s">
        <v>14</v>
      </c>
      <c r="H14" s="104">
        <f t="shared" si="1"/>
        <v>3</v>
      </c>
      <c r="I14" s="108"/>
      <c r="J14" s="104" t="s">
        <v>33</v>
      </c>
      <c r="K14" s="104">
        <f t="shared" si="2"/>
        <v>2</v>
      </c>
      <c r="L14" s="104"/>
      <c r="M14" s="104">
        <f t="shared" si="13"/>
        <v>6</v>
      </c>
      <c r="N14" s="109" t="s">
        <v>157</v>
      </c>
      <c r="O14" s="109" t="s">
        <v>140</v>
      </c>
      <c r="P14" s="109" t="s">
        <v>156</v>
      </c>
      <c r="Q14" s="109" t="s">
        <v>27</v>
      </c>
      <c r="R14" s="110">
        <f>IFERROR(VLOOKUP(N14,'Calificación Controles'!$B$7:$AB$36,27,0)," ")</f>
        <v>76.5</v>
      </c>
      <c r="S14" s="110">
        <f>IFERROR(VLOOKUP(O14,'Calificación Controles'!$B$7:$AB$36,27,0)," ")</f>
        <v>71.5</v>
      </c>
      <c r="T14" s="110">
        <f>IFERROR(VLOOKUP(P14,'Calificación Controles'!$B$7:$AB$36,27,0), " ")</f>
        <v>0</v>
      </c>
      <c r="U14" s="116">
        <f t="shared" si="11"/>
        <v>0.49333333333333335</v>
      </c>
      <c r="V14" s="116"/>
      <c r="W14" s="113">
        <f t="shared" si="3"/>
        <v>1.52</v>
      </c>
      <c r="X14" s="113">
        <f t="shared" si="4"/>
        <v>0</v>
      </c>
      <c r="Y14" s="114">
        <f t="shared" si="5"/>
        <v>1.52</v>
      </c>
      <c r="Z14" s="104">
        <f t="shared" si="0"/>
        <v>2</v>
      </c>
      <c r="AA14" s="114"/>
      <c r="AB14" s="114">
        <f t="shared" si="6"/>
        <v>2</v>
      </c>
      <c r="AC14" s="115">
        <f t="shared" si="7"/>
        <v>0</v>
      </c>
      <c r="AD14" s="115"/>
      <c r="AE14" s="114">
        <f t="shared" si="8"/>
        <v>2</v>
      </c>
      <c r="AF14" s="104">
        <f t="shared" si="9"/>
        <v>2</v>
      </c>
      <c r="AG14" s="114"/>
      <c r="AH14" s="115">
        <f t="shared" si="12"/>
        <v>4</v>
      </c>
    </row>
    <row r="15" spans="1:38" s="48" customFormat="1" ht="43.2" x14ac:dyDescent="0.3">
      <c r="A15" s="104">
        <f t="shared" si="10"/>
        <v>9</v>
      </c>
      <c r="B15" s="105" t="s">
        <v>242</v>
      </c>
      <c r="C15" s="106" t="s">
        <v>169</v>
      </c>
      <c r="D15" s="106" t="s">
        <v>174</v>
      </c>
      <c r="E15" s="104" t="s">
        <v>18</v>
      </c>
      <c r="F15" s="104" t="s">
        <v>25</v>
      </c>
      <c r="G15" s="107" t="s">
        <v>12</v>
      </c>
      <c r="H15" s="104">
        <f t="shared" si="1"/>
        <v>1</v>
      </c>
      <c r="I15" s="108"/>
      <c r="J15" s="104" t="s">
        <v>32</v>
      </c>
      <c r="K15" s="104">
        <f t="shared" si="2"/>
        <v>3</v>
      </c>
      <c r="L15" s="104"/>
      <c r="M15" s="104">
        <f t="shared" si="13"/>
        <v>3</v>
      </c>
      <c r="N15" s="109" t="s">
        <v>228</v>
      </c>
      <c r="O15" s="109" t="s">
        <v>147</v>
      </c>
      <c r="P15" s="109" t="s">
        <v>151</v>
      </c>
      <c r="Q15" s="109" t="s">
        <v>27</v>
      </c>
      <c r="R15" s="110">
        <f>IFERROR(VLOOKUP(N15,'Calificación Controles'!$B$7:$AB$36,27,0)," ")</f>
        <v>82.5</v>
      </c>
      <c r="S15" s="110">
        <f>IFERROR(VLOOKUP(O15,'Calificación Controles'!$B$7:$AB$36,27,0)," ")</f>
        <v>64</v>
      </c>
      <c r="T15" s="110">
        <f>IFERROR(VLOOKUP(P15,'Calificación Controles'!$B$7:$AB$36,27,0), " ")</f>
        <v>82.5</v>
      </c>
      <c r="U15" s="116">
        <f t="shared" si="11"/>
        <v>0.76333333333333331</v>
      </c>
      <c r="V15" s="116"/>
      <c r="W15" s="113">
        <f t="shared" si="3"/>
        <v>0.23666666666666669</v>
      </c>
      <c r="X15" s="113">
        <f t="shared" si="4"/>
        <v>0</v>
      </c>
      <c r="Y15" s="114">
        <f t="shared" si="5"/>
        <v>0.23666666666666669</v>
      </c>
      <c r="Z15" s="104">
        <f t="shared" si="0"/>
        <v>1</v>
      </c>
      <c r="AA15" s="114"/>
      <c r="AB15" s="114">
        <f t="shared" si="6"/>
        <v>3</v>
      </c>
      <c r="AC15" s="115">
        <f t="shared" si="7"/>
        <v>0</v>
      </c>
      <c r="AD15" s="115"/>
      <c r="AE15" s="114">
        <f t="shared" si="8"/>
        <v>3</v>
      </c>
      <c r="AF15" s="104">
        <f t="shared" si="9"/>
        <v>3</v>
      </c>
      <c r="AG15" s="114"/>
      <c r="AH15" s="115">
        <f t="shared" si="12"/>
        <v>1</v>
      </c>
    </row>
    <row r="16" spans="1:38" s="48" customFormat="1" ht="43.2" x14ac:dyDescent="0.3">
      <c r="A16" s="104">
        <f t="shared" si="10"/>
        <v>10</v>
      </c>
      <c r="B16" s="105" t="s">
        <v>242</v>
      </c>
      <c r="C16" s="106" t="s">
        <v>155</v>
      </c>
      <c r="D16" s="106" t="s">
        <v>170</v>
      </c>
      <c r="E16" s="104" t="s">
        <v>18</v>
      </c>
      <c r="F16" s="104" t="s">
        <v>25</v>
      </c>
      <c r="G16" s="107" t="s">
        <v>14</v>
      </c>
      <c r="H16" s="104">
        <f t="shared" si="1"/>
        <v>3</v>
      </c>
      <c r="I16" s="108"/>
      <c r="J16" s="104" t="s">
        <v>33</v>
      </c>
      <c r="K16" s="104">
        <f t="shared" si="2"/>
        <v>2</v>
      </c>
      <c r="L16" s="104"/>
      <c r="M16" s="104">
        <f t="shared" si="13"/>
        <v>6</v>
      </c>
      <c r="N16" s="109" t="s">
        <v>139</v>
      </c>
      <c r="O16" s="109" t="s">
        <v>140</v>
      </c>
      <c r="P16" s="109" t="s">
        <v>156</v>
      </c>
      <c r="Q16" s="109" t="s">
        <v>27</v>
      </c>
      <c r="R16" s="110">
        <f>IFERROR(VLOOKUP(N16,'Calificación Controles'!$B$7:$AB$36,27,0)," ")</f>
        <v>64</v>
      </c>
      <c r="S16" s="110">
        <f>IFERROR(VLOOKUP(O16,'Calificación Controles'!$B$7:$AB$36,27,0)," ")</f>
        <v>71.5</v>
      </c>
      <c r="T16" s="110">
        <f>IFERROR(VLOOKUP(P16,'Calificación Controles'!$B$7:$AB$36,27,0), " ")</f>
        <v>0</v>
      </c>
      <c r="U16" s="116">
        <f t="shared" si="11"/>
        <v>0.45166666666666666</v>
      </c>
      <c r="V16" s="116"/>
      <c r="W16" s="113">
        <f t="shared" si="3"/>
        <v>1.645</v>
      </c>
      <c r="X16" s="113">
        <f t="shared" si="4"/>
        <v>0</v>
      </c>
      <c r="Y16" s="114">
        <f t="shared" si="5"/>
        <v>1.645</v>
      </c>
      <c r="Z16" s="104">
        <f t="shared" si="0"/>
        <v>2</v>
      </c>
      <c r="AA16" s="114"/>
      <c r="AB16" s="114">
        <f t="shared" si="6"/>
        <v>2</v>
      </c>
      <c r="AC16" s="115">
        <f t="shared" si="7"/>
        <v>0</v>
      </c>
      <c r="AD16" s="115"/>
      <c r="AE16" s="114">
        <f t="shared" si="8"/>
        <v>2</v>
      </c>
      <c r="AF16" s="104">
        <f t="shared" si="9"/>
        <v>2</v>
      </c>
      <c r="AG16" s="114"/>
      <c r="AH16" s="115">
        <f t="shared" si="12"/>
        <v>4</v>
      </c>
    </row>
    <row r="17" spans="1:35" s="48" customFormat="1" ht="43.2" x14ac:dyDescent="0.3">
      <c r="A17" s="104">
        <f t="shared" si="10"/>
        <v>11</v>
      </c>
      <c r="B17" s="105" t="s">
        <v>242</v>
      </c>
      <c r="C17" s="106" t="s">
        <v>165</v>
      </c>
      <c r="D17" s="106" t="s">
        <v>172</v>
      </c>
      <c r="E17" s="104" t="s">
        <v>18</v>
      </c>
      <c r="F17" s="104" t="s">
        <v>25</v>
      </c>
      <c r="G17" s="107" t="s">
        <v>16</v>
      </c>
      <c r="H17" s="104">
        <f t="shared" si="1"/>
        <v>2</v>
      </c>
      <c r="I17" s="108"/>
      <c r="J17" s="104" t="s">
        <v>32</v>
      </c>
      <c r="K17" s="104">
        <f t="shared" si="2"/>
        <v>3</v>
      </c>
      <c r="L17" s="104"/>
      <c r="M17" s="104">
        <f t="shared" si="13"/>
        <v>6</v>
      </c>
      <c r="N17" s="109" t="s">
        <v>138</v>
      </c>
      <c r="O17" s="109" t="s">
        <v>146</v>
      </c>
      <c r="P17" s="109" t="s">
        <v>145</v>
      </c>
      <c r="Q17" s="109" t="s">
        <v>27</v>
      </c>
      <c r="R17" s="110">
        <f>IFERROR(VLOOKUP(N17,'Calificación Controles'!$B$7:$AB$36,27,0)," ")</f>
        <v>69</v>
      </c>
      <c r="S17" s="110">
        <f>IFERROR(VLOOKUP(O17,'Calificación Controles'!$B$7:$AB$36,27,0)," ")</f>
        <v>75</v>
      </c>
      <c r="T17" s="110">
        <f>IFERROR(VLOOKUP(P17,'Calificación Controles'!$B$7:$AB$36,27,0), " ")</f>
        <v>82.5</v>
      </c>
      <c r="U17" s="116">
        <f t="shared" si="11"/>
        <v>0.755</v>
      </c>
      <c r="V17" s="116"/>
      <c r="W17" s="113">
        <f t="shared" si="3"/>
        <v>0.49</v>
      </c>
      <c r="X17" s="113">
        <f t="shared" si="4"/>
        <v>0</v>
      </c>
      <c r="Y17" s="114">
        <f t="shared" si="5"/>
        <v>0.49</v>
      </c>
      <c r="Z17" s="104">
        <f t="shared" si="0"/>
        <v>1</v>
      </c>
      <c r="AA17" s="114"/>
      <c r="AB17" s="114">
        <f t="shared" si="6"/>
        <v>3</v>
      </c>
      <c r="AC17" s="115">
        <f t="shared" si="7"/>
        <v>0</v>
      </c>
      <c r="AD17" s="115"/>
      <c r="AE17" s="114">
        <f t="shared" si="8"/>
        <v>3</v>
      </c>
      <c r="AF17" s="104">
        <f t="shared" si="9"/>
        <v>3</v>
      </c>
      <c r="AG17" s="114"/>
      <c r="AH17" s="115">
        <f t="shared" si="12"/>
        <v>2</v>
      </c>
    </row>
    <row r="18" spans="1:35" s="48" customFormat="1" ht="43.2" x14ac:dyDescent="0.3">
      <c r="A18" s="104">
        <f t="shared" si="10"/>
        <v>12</v>
      </c>
      <c r="B18" s="105" t="s">
        <v>231</v>
      </c>
      <c r="C18" s="106" t="s">
        <v>166</v>
      </c>
      <c r="D18" s="106" t="s">
        <v>223</v>
      </c>
      <c r="E18" s="104" t="s">
        <v>86</v>
      </c>
      <c r="F18" s="104" t="s">
        <v>22</v>
      </c>
      <c r="G18" s="104" t="s">
        <v>12</v>
      </c>
      <c r="H18" s="104">
        <f t="shared" si="1"/>
        <v>1</v>
      </c>
      <c r="I18" s="108"/>
      <c r="J18" s="104" t="s">
        <v>31</v>
      </c>
      <c r="K18" s="104">
        <f t="shared" si="2"/>
        <v>4</v>
      </c>
      <c r="L18" s="104"/>
      <c r="M18" s="104">
        <f t="shared" si="13"/>
        <v>4</v>
      </c>
      <c r="N18" s="109" t="s">
        <v>238</v>
      </c>
      <c r="O18" s="109" t="s">
        <v>146</v>
      </c>
      <c r="P18" s="109" t="s">
        <v>145</v>
      </c>
      <c r="Q18" s="109" t="s">
        <v>91</v>
      </c>
      <c r="R18" s="110">
        <f>IFERROR(VLOOKUP(N18,'Calificación Controles'!$B$7:$AB$36,27,0)," ")</f>
        <v>70</v>
      </c>
      <c r="S18" s="110">
        <f>IFERROR(VLOOKUP(O18,'Calificación Controles'!$B$7:$AB$36,27,0)," ")</f>
        <v>75</v>
      </c>
      <c r="T18" s="110">
        <f>IFERROR(VLOOKUP(P18,'Calificación Controles'!$B$7:$AB$36,27,0), " ")</f>
        <v>82.5</v>
      </c>
      <c r="U18" s="116">
        <f t="shared" si="11"/>
        <v>0.7583333333333333</v>
      </c>
      <c r="V18" s="116"/>
      <c r="W18" s="113">
        <f t="shared" si="3"/>
        <v>1</v>
      </c>
      <c r="X18" s="113">
        <f t="shared" si="4"/>
        <v>0.7583333333333333</v>
      </c>
      <c r="Y18" s="114">
        <f t="shared" si="5"/>
        <v>0.2416666666666667</v>
      </c>
      <c r="Z18" s="104">
        <f t="shared" si="0"/>
        <v>1</v>
      </c>
      <c r="AA18" s="114"/>
      <c r="AB18" s="114">
        <f t="shared" si="6"/>
        <v>4</v>
      </c>
      <c r="AC18" s="115">
        <f t="shared" si="7"/>
        <v>3.0333333333333332</v>
      </c>
      <c r="AD18" s="115"/>
      <c r="AE18" s="114">
        <f t="shared" si="8"/>
        <v>0.96666666666666679</v>
      </c>
      <c r="AF18" s="104">
        <f t="shared" si="9"/>
        <v>1</v>
      </c>
      <c r="AG18" s="114"/>
      <c r="AH18" s="115">
        <f t="shared" si="12"/>
        <v>1</v>
      </c>
    </row>
    <row r="19" spans="1:35" s="48" customFormat="1" ht="43.2" x14ac:dyDescent="0.3">
      <c r="A19" s="104">
        <f t="shared" si="10"/>
        <v>13</v>
      </c>
      <c r="B19" s="105" t="s">
        <v>242</v>
      </c>
      <c r="C19" s="106" t="s">
        <v>167</v>
      </c>
      <c r="D19" s="106" t="s">
        <v>224</v>
      </c>
      <c r="E19" s="104" t="s">
        <v>18</v>
      </c>
      <c r="F19" s="104" t="s">
        <v>25</v>
      </c>
      <c r="G19" s="104" t="s">
        <v>13</v>
      </c>
      <c r="H19" s="104">
        <f t="shared" si="1"/>
        <v>4</v>
      </c>
      <c r="I19" s="108"/>
      <c r="J19" s="104" t="s">
        <v>31</v>
      </c>
      <c r="K19" s="104">
        <f t="shared" si="2"/>
        <v>4</v>
      </c>
      <c r="L19" s="104"/>
      <c r="M19" s="104">
        <f t="shared" si="13"/>
        <v>16</v>
      </c>
      <c r="N19" s="109" t="s">
        <v>144</v>
      </c>
      <c r="O19" s="109" t="s">
        <v>146</v>
      </c>
      <c r="P19" s="109" t="s">
        <v>135</v>
      </c>
      <c r="Q19" s="109" t="s">
        <v>91</v>
      </c>
      <c r="R19" s="110">
        <f>IFERROR(VLOOKUP(N19,'Calificación Controles'!$B$7:$AB$36,27,0)," ")</f>
        <v>64</v>
      </c>
      <c r="S19" s="110">
        <f>IFERROR(VLOOKUP(O19,'Calificación Controles'!$B$7:$AB$36,27,0)," ")</f>
        <v>75</v>
      </c>
      <c r="T19" s="110">
        <f>IFERROR(VLOOKUP(P19,'Calificación Controles'!$B$7:$AB$36,27,0), " ")</f>
        <v>49.5</v>
      </c>
      <c r="U19" s="116">
        <f t="shared" si="11"/>
        <v>0.62833333333333341</v>
      </c>
      <c r="V19" s="116"/>
      <c r="W19" s="113">
        <f t="shared" si="3"/>
        <v>4</v>
      </c>
      <c r="X19" s="113">
        <f t="shared" si="4"/>
        <v>2.5133333333333336</v>
      </c>
      <c r="Y19" s="114">
        <f t="shared" si="5"/>
        <v>1.4866666666666664</v>
      </c>
      <c r="Z19" s="104">
        <f t="shared" si="0"/>
        <v>1</v>
      </c>
      <c r="AA19" s="114"/>
      <c r="AB19" s="114">
        <f t="shared" si="6"/>
        <v>4</v>
      </c>
      <c r="AC19" s="115">
        <f t="shared" si="7"/>
        <v>2.5133333333333336</v>
      </c>
      <c r="AD19" s="115"/>
      <c r="AE19" s="114">
        <f t="shared" si="8"/>
        <v>1.4866666666666664</v>
      </c>
      <c r="AF19" s="104">
        <f t="shared" si="9"/>
        <v>1</v>
      </c>
      <c r="AG19" s="114"/>
      <c r="AH19" s="115">
        <f t="shared" si="12"/>
        <v>3</v>
      </c>
    </row>
    <row r="20" spans="1:35" s="48" customFormat="1" ht="43.2" x14ac:dyDescent="0.3">
      <c r="A20" s="104">
        <f t="shared" si="10"/>
        <v>14</v>
      </c>
      <c r="B20" s="105" t="s">
        <v>242</v>
      </c>
      <c r="C20" s="106" t="s">
        <v>167</v>
      </c>
      <c r="D20" s="106" t="s">
        <v>223</v>
      </c>
      <c r="E20" s="104" t="s">
        <v>21</v>
      </c>
      <c r="F20" s="104" t="s">
        <v>25</v>
      </c>
      <c r="G20" s="104" t="s">
        <v>13</v>
      </c>
      <c r="H20" s="104">
        <f t="shared" si="1"/>
        <v>4</v>
      </c>
      <c r="I20" s="108"/>
      <c r="J20" s="104" t="s">
        <v>32</v>
      </c>
      <c r="K20" s="104">
        <f t="shared" si="2"/>
        <v>3</v>
      </c>
      <c r="L20" s="104"/>
      <c r="M20" s="104">
        <f t="shared" si="13"/>
        <v>12</v>
      </c>
      <c r="N20" s="109" t="s">
        <v>144</v>
      </c>
      <c r="O20" s="109" t="s">
        <v>146</v>
      </c>
      <c r="P20" s="109" t="s">
        <v>140</v>
      </c>
      <c r="Q20" s="109" t="s">
        <v>27</v>
      </c>
      <c r="R20" s="110">
        <f>IFERROR(VLOOKUP(N20,'Calificación Controles'!$B$7:$AB$36,27,0)," ")</f>
        <v>64</v>
      </c>
      <c r="S20" s="110">
        <f>IFERROR(VLOOKUP(O20,'Calificación Controles'!$B$7:$AB$36,27,0)," ")</f>
        <v>75</v>
      </c>
      <c r="T20" s="110">
        <f>IFERROR(VLOOKUP(P20,'Calificación Controles'!$B$7:$AB$36,27,0), " ")</f>
        <v>71.5</v>
      </c>
      <c r="U20" s="116">
        <f t="shared" si="11"/>
        <v>0.70166666666666666</v>
      </c>
      <c r="V20" s="116"/>
      <c r="W20" s="113">
        <f t="shared" si="3"/>
        <v>1.1933333333333334</v>
      </c>
      <c r="X20" s="113">
        <f t="shared" si="4"/>
        <v>0</v>
      </c>
      <c r="Y20" s="114">
        <f t="shared" si="5"/>
        <v>1.1933333333333334</v>
      </c>
      <c r="Z20" s="104">
        <f t="shared" si="0"/>
        <v>1</v>
      </c>
      <c r="AA20" s="114"/>
      <c r="AB20" s="114">
        <f t="shared" si="6"/>
        <v>3</v>
      </c>
      <c r="AC20" s="115">
        <f t="shared" si="7"/>
        <v>0</v>
      </c>
      <c r="AD20" s="115"/>
      <c r="AE20" s="114">
        <f t="shared" si="8"/>
        <v>3</v>
      </c>
      <c r="AF20" s="104">
        <f t="shared" si="9"/>
        <v>3</v>
      </c>
      <c r="AG20" s="114"/>
      <c r="AH20" s="115">
        <f t="shared" si="12"/>
        <v>4</v>
      </c>
    </row>
    <row r="21" spans="1:35" s="48" customFormat="1" ht="43.2" x14ac:dyDescent="0.3">
      <c r="A21" s="104">
        <f t="shared" si="10"/>
        <v>15</v>
      </c>
      <c r="B21" s="105" t="s">
        <v>242</v>
      </c>
      <c r="C21" s="106" t="s">
        <v>234</v>
      </c>
      <c r="D21" s="106" t="s">
        <v>170</v>
      </c>
      <c r="E21" s="104" t="s">
        <v>18</v>
      </c>
      <c r="F21" s="104" t="s">
        <v>25</v>
      </c>
      <c r="G21" s="104" t="s">
        <v>16</v>
      </c>
      <c r="H21" s="104">
        <f t="shared" si="1"/>
        <v>2</v>
      </c>
      <c r="I21" s="108"/>
      <c r="J21" s="104" t="s">
        <v>31</v>
      </c>
      <c r="K21" s="104">
        <f t="shared" si="2"/>
        <v>4</v>
      </c>
      <c r="L21" s="104"/>
      <c r="M21" s="104">
        <f t="shared" si="13"/>
        <v>8</v>
      </c>
      <c r="N21" s="109" t="s">
        <v>157</v>
      </c>
      <c r="O21" s="109" t="s">
        <v>134</v>
      </c>
      <c r="P21" s="109" t="s">
        <v>135</v>
      </c>
      <c r="Q21" s="109" t="s">
        <v>27</v>
      </c>
      <c r="R21" s="110">
        <f>IFERROR(VLOOKUP(N21,'Calificación Controles'!$B$7:$AB$36,27,0)," ")</f>
        <v>76.5</v>
      </c>
      <c r="S21" s="110">
        <f>IFERROR(VLOOKUP(O21,'Calificación Controles'!$B$7:$AB$36,27,0)," ")</f>
        <v>71.5</v>
      </c>
      <c r="T21" s="110">
        <f>IFERROR(VLOOKUP(P21,'Calificación Controles'!$B$7:$AB$36,27,0), " ")</f>
        <v>49.5</v>
      </c>
      <c r="U21" s="116">
        <f t="shared" si="11"/>
        <v>0.65833333333333333</v>
      </c>
      <c r="V21" s="116"/>
      <c r="W21" s="113">
        <f t="shared" si="3"/>
        <v>0.68333333333333335</v>
      </c>
      <c r="X21" s="113">
        <f t="shared" si="4"/>
        <v>0</v>
      </c>
      <c r="Y21" s="114">
        <f t="shared" si="5"/>
        <v>0.68333333333333335</v>
      </c>
      <c r="Z21" s="104">
        <f t="shared" si="0"/>
        <v>1</v>
      </c>
      <c r="AA21" s="114"/>
      <c r="AB21" s="114">
        <f t="shared" si="6"/>
        <v>4</v>
      </c>
      <c r="AC21" s="115">
        <f t="shared" si="7"/>
        <v>0</v>
      </c>
      <c r="AD21" s="115"/>
      <c r="AE21" s="114">
        <f t="shared" si="8"/>
        <v>4</v>
      </c>
      <c r="AF21" s="104">
        <f t="shared" si="9"/>
        <v>4</v>
      </c>
      <c r="AG21" s="114"/>
      <c r="AH21" s="115">
        <f t="shared" si="12"/>
        <v>3</v>
      </c>
    </row>
    <row r="22" spans="1:35" s="48" customFormat="1" ht="43.2" x14ac:dyDescent="0.3">
      <c r="A22" s="104">
        <f t="shared" si="10"/>
        <v>16</v>
      </c>
      <c r="B22" s="105" t="s">
        <v>242</v>
      </c>
      <c r="C22" s="106" t="s">
        <v>106</v>
      </c>
      <c r="D22" s="106" t="s">
        <v>183</v>
      </c>
      <c r="E22" s="104" t="s">
        <v>86</v>
      </c>
      <c r="F22" s="104" t="s">
        <v>25</v>
      </c>
      <c r="G22" s="104" t="s">
        <v>12</v>
      </c>
      <c r="H22" s="104">
        <f t="shared" si="1"/>
        <v>1</v>
      </c>
      <c r="I22" s="108"/>
      <c r="J22" s="104" t="s">
        <v>32</v>
      </c>
      <c r="K22" s="104">
        <f t="shared" si="2"/>
        <v>3</v>
      </c>
      <c r="L22" s="104"/>
      <c r="M22" s="104">
        <f t="shared" si="13"/>
        <v>3</v>
      </c>
      <c r="N22" s="109" t="s">
        <v>157</v>
      </c>
      <c r="O22" s="109" t="s">
        <v>151</v>
      </c>
      <c r="P22" s="109" t="s">
        <v>156</v>
      </c>
      <c r="Q22" s="109" t="s">
        <v>27</v>
      </c>
      <c r="R22" s="110">
        <f>IFERROR(VLOOKUP(N22,'Calificación Controles'!$B$7:$AB$36,27,0)," ")</f>
        <v>76.5</v>
      </c>
      <c r="S22" s="110">
        <f>IFERROR(VLOOKUP(O22,'Calificación Controles'!$B$7:$AB$36,27,0)," ")</f>
        <v>82.5</v>
      </c>
      <c r="T22" s="110">
        <f>IFERROR(VLOOKUP(P22,'Calificación Controles'!$B$7:$AB$36,27,0), " ")</f>
        <v>0</v>
      </c>
      <c r="U22" s="116">
        <f t="shared" si="11"/>
        <v>0.53</v>
      </c>
      <c r="V22" s="116"/>
      <c r="W22" s="113">
        <f t="shared" si="3"/>
        <v>0.47</v>
      </c>
      <c r="X22" s="113">
        <f t="shared" si="4"/>
        <v>0</v>
      </c>
      <c r="Y22" s="114">
        <f t="shared" si="5"/>
        <v>0.47</v>
      </c>
      <c r="Z22" s="104">
        <f t="shared" si="0"/>
        <v>1</v>
      </c>
      <c r="AA22" s="114"/>
      <c r="AB22" s="114">
        <f t="shared" si="6"/>
        <v>3</v>
      </c>
      <c r="AC22" s="115">
        <f t="shared" si="7"/>
        <v>0</v>
      </c>
      <c r="AD22" s="115"/>
      <c r="AE22" s="114">
        <f t="shared" si="8"/>
        <v>3</v>
      </c>
      <c r="AF22" s="104">
        <f t="shared" si="9"/>
        <v>3</v>
      </c>
      <c r="AG22" s="114"/>
      <c r="AH22" s="115">
        <f t="shared" si="12"/>
        <v>2</v>
      </c>
    </row>
    <row r="23" spans="1:35" s="48" customFormat="1" ht="57.6" x14ac:dyDescent="0.3">
      <c r="A23" s="104">
        <f t="shared" si="10"/>
        <v>17</v>
      </c>
      <c r="B23" s="105" t="s">
        <v>243</v>
      </c>
      <c r="C23" s="106" t="s">
        <v>217</v>
      </c>
      <c r="D23" s="106" t="s">
        <v>206</v>
      </c>
      <c r="E23" s="104" t="s">
        <v>21</v>
      </c>
      <c r="F23" s="104" t="s">
        <v>215</v>
      </c>
      <c r="G23" s="104" t="s">
        <v>14</v>
      </c>
      <c r="H23" s="104">
        <f t="shared" si="1"/>
        <v>3</v>
      </c>
      <c r="I23" s="108"/>
      <c r="J23" s="104" t="s">
        <v>32</v>
      </c>
      <c r="K23" s="104">
        <f t="shared" si="2"/>
        <v>3</v>
      </c>
      <c r="L23" s="104"/>
      <c r="M23" s="104">
        <f t="shared" si="13"/>
        <v>9</v>
      </c>
      <c r="N23" s="109" t="s">
        <v>138</v>
      </c>
      <c r="O23" s="109" t="s">
        <v>140</v>
      </c>
      <c r="P23" s="109" t="s">
        <v>156</v>
      </c>
      <c r="Q23" s="109" t="s">
        <v>27</v>
      </c>
      <c r="R23" s="110">
        <f>IFERROR(VLOOKUP(N23,'Calificación Controles'!$B$7:$AB$36,27,0)," ")</f>
        <v>69</v>
      </c>
      <c r="S23" s="110">
        <f>IFERROR(VLOOKUP(O23,'Calificación Controles'!$B$7:$AB$36,27,0)," ")</f>
        <v>71.5</v>
      </c>
      <c r="T23" s="110">
        <f>IFERROR(VLOOKUP(P23,'Calificación Controles'!$B$7:$AB$36,27,0), " ")</f>
        <v>0</v>
      </c>
      <c r="U23" s="116">
        <f t="shared" si="11"/>
        <v>0.46833333333333338</v>
      </c>
      <c r="V23" s="116"/>
      <c r="W23" s="113">
        <f t="shared" si="3"/>
        <v>1.5949999999999998</v>
      </c>
      <c r="X23" s="113">
        <f t="shared" si="4"/>
        <v>0</v>
      </c>
      <c r="Y23" s="114">
        <f t="shared" si="5"/>
        <v>1.5949999999999998</v>
      </c>
      <c r="Z23" s="104">
        <f t="shared" si="0"/>
        <v>2</v>
      </c>
      <c r="AA23" s="114"/>
      <c r="AB23" s="114">
        <f t="shared" si="6"/>
        <v>3</v>
      </c>
      <c r="AC23" s="115">
        <f t="shared" si="7"/>
        <v>0</v>
      </c>
      <c r="AD23" s="115"/>
      <c r="AE23" s="114">
        <f t="shared" si="8"/>
        <v>3</v>
      </c>
      <c r="AF23" s="104">
        <f t="shared" si="9"/>
        <v>3</v>
      </c>
      <c r="AG23" s="114"/>
      <c r="AH23" s="115">
        <f t="shared" si="12"/>
        <v>5</v>
      </c>
    </row>
    <row r="24" spans="1:35" s="48" customFormat="1" ht="43.2" x14ac:dyDescent="0.3">
      <c r="A24" s="104">
        <f t="shared" si="10"/>
        <v>18</v>
      </c>
      <c r="B24" s="105" t="s">
        <v>242</v>
      </c>
      <c r="C24" s="106" t="s">
        <v>214</v>
      </c>
      <c r="D24" s="106" t="s">
        <v>210</v>
      </c>
      <c r="E24" s="104" t="s">
        <v>10</v>
      </c>
      <c r="F24" s="104" t="s">
        <v>25</v>
      </c>
      <c r="G24" s="104" t="s">
        <v>12</v>
      </c>
      <c r="H24" s="104">
        <f t="shared" si="1"/>
        <v>1</v>
      </c>
      <c r="I24" s="108"/>
      <c r="J24" s="104" t="s">
        <v>32</v>
      </c>
      <c r="K24" s="104">
        <f t="shared" si="2"/>
        <v>3</v>
      </c>
      <c r="L24" s="104"/>
      <c r="M24" s="104">
        <f t="shared" si="13"/>
        <v>3</v>
      </c>
      <c r="N24" s="109" t="s">
        <v>134</v>
      </c>
      <c r="O24" s="109" t="s">
        <v>138</v>
      </c>
      <c r="P24" s="109" t="s">
        <v>135</v>
      </c>
      <c r="Q24" s="109" t="s">
        <v>27</v>
      </c>
      <c r="R24" s="110">
        <f>IFERROR(VLOOKUP(N24,'Calificación Controles'!$B$7:$AB$36,27,0)," ")</f>
        <v>71.5</v>
      </c>
      <c r="S24" s="110">
        <f>IFERROR(VLOOKUP(O24,'Calificación Controles'!$B$7:$AB$36,27,0)," ")</f>
        <v>69</v>
      </c>
      <c r="T24" s="110">
        <f>IFERROR(VLOOKUP(P24,'Calificación Controles'!$B$7:$AB$36,27,0), " ")</f>
        <v>49.5</v>
      </c>
      <c r="U24" s="116">
        <f t="shared" si="11"/>
        <v>0.6333333333333333</v>
      </c>
      <c r="V24" s="116"/>
      <c r="W24" s="113">
        <f t="shared" si="3"/>
        <v>0.3666666666666667</v>
      </c>
      <c r="X24" s="113">
        <f t="shared" si="4"/>
        <v>0</v>
      </c>
      <c r="Y24" s="114">
        <f t="shared" si="5"/>
        <v>0.3666666666666667</v>
      </c>
      <c r="Z24" s="104">
        <f t="shared" si="0"/>
        <v>1</v>
      </c>
      <c r="AA24" s="114"/>
      <c r="AB24" s="114">
        <f t="shared" si="6"/>
        <v>3</v>
      </c>
      <c r="AC24" s="115">
        <f t="shared" si="7"/>
        <v>0</v>
      </c>
      <c r="AD24" s="115"/>
      <c r="AE24" s="114">
        <f t="shared" si="8"/>
        <v>3</v>
      </c>
      <c r="AF24" s="104">
        <f t="shared" si="9"/>
        <v>3</v>
      </c>
      <c r="AG24" s="114"/>
      <c r="AH24" s="115">
        <f t="shared" si="12"/>
        <v>2</v>
      </c>
    </row>
    <row r="25" spans="1:35" s="48" customFormat="1" ht="43.2" x14ac:dyDescent="0.3">
      <c r="A25" s="104">
        <f t="shared" si="10"/>
        <v>19</v>
      </c>
      <c r="B25" s="105" t="s">
        <v>243</v>
      </c>
      <c r="C25" s="106" t="s">
        <v>235</v>
      </c>
      <c r="D25" s="106" t="s">
        <v>206</v>
      </c>
      <c r="E25" s="104" t="s">
        <v>10</v>
      </c>
      <c r="F25" s="104" t="s">
        <v>215</v>
      </c>
      <c r="G25" s="104" t="s">
        <v>12</v>
      </c>
      <c r="H25" s="104">
        <f t="shared" si="1"/>
        <v>1</v>
      </c>
      <c r="I25" s="108"/>
      <c r="J25" s="104" t="s">
        <v>32</v>
      </c>
      <c r="K25" s="104">
        <f t="shared" si="2"/>
        <v>3</v>
      </c>
      <c r="L25" s="104"/>
      <c r="M25" s="104">
        <f t="shared" si="13"/>
        <v>3</v>
      </c>
      <c r="N25" s="109" t="s">
        <v>138</v>
      </c>
      <c r="O25" s="109" t="s">
        <v>151</v>
      </c>
      <c r="P25" s="109" t="s">
        <v>156</v>
      </c>
      <c r="Q25" s="109" t="s">
        <v>27</v>
      </c>
      <c r="R25" s="110">
        <f>IFERROR(VLOOKUP(N25,'Calificación Controles'!$B$7:$AB$36,27,0)," ")</f>
        <v>69</v>
      </c>
      <c r="S25" s="110">
        <f>IFERROR(VLOOKUP(O25,'Calificación Controles'!$B$7:$AB$36,27,0)," ")</f>
        <v>82.5</v>
      </c>
      <c r="T25" s="110">
        <f>IFERROR(VLOOKUP(P25,'Calificación Controles'!$B$7:$AB$36,27,0), " ")</f>
        <v>0</v>
      </c>
      <c r="U25" s="116">
        <f t="shared" si="11"/>
        <v>0.505</v>
      </c>
      <c r="V25" s="116"/>
      <c r="W25" s="113">
        <f t="shared" si="3"/>
        <v>0.495</v>
      </c>
      <c r="X25" s="113">
        <f t="shared" si="4"/>
        <v>0</v>
      </c>
      <c r="Y25" s="114">
        <f t="shared" si="5"/>
        <v>0.495</v>
      </c>
      <c r="Z25" s="104">
        <f t="shared" si="0"/>
        <v>1</v>
      </c>
      <c r="AA25" s="114"/>
      <c r="AB25" s="114">
        <f t="shared" si="6"/>
        <v>3</v>
      </c>
      <c r="AC25" s="115">
        <f t="shared" si="7"/>
        <v>0</v>
      </c>
      <c r="AD25" s="115"/>
      <c r="AE25" s="114">
        <f t="shared" si="8"/>
        <v>3</v>
      </c>
      <c r="AF25" s="104">
        <f t="shared" si="9"/>
        <v>3</v>
      </c>
      <c r="AG25" s="114"/>
      <c r="AH25" s="115">
        <f t="shared" si="12"/>
        <v>2</v>
      </c>
    </row>
    <row r="26" spans="1:35" s="48" customFormat="1" x14ac:dyDescent="0.3">
      <c r="A26" s="48">
        <f t="shared" si="10"/>
        <v>20</v>
      </c>
      <c r="B26" s="87"/>
      <c r="C26" s="84"/>
      <c r="D26" s="84"/>
      <c r="H26" s="48" t="str">
        <f t="shared" si="1"/>
        <v xml:space="preserve"> </v>
      </c>
      <c r="I26" s="69"/>
      <c r="K26" s="48" t="str">
        <f t="shared" si="2"/>
        <v xml:space="preserve"> </v>
      </c>
      <c r="M26" s="48" t="str">
        <f t="shared" si="13"/>
        <v xml:space="preserve"> </v>
      </c>
      <c r="N26" s="49"/>
      <c r="O26" s="49"/>
      <c r="P26" s="49"/>
      <c r="Q26" s="49"/>
      <c r="R26" s="50" t="str">
        <f>IFERROR(VLOOKUP(N26,'Calificación Controles'!$B$7:$AB$36,27,0)," ")</f>
        <v xml:space="preserve"> </v>
      </c>
      <c r="S26" s="50" t="str">
        <f>IFERROR(VLOOKUP(O26,'Calificación Controles'!$B$7:$AB$36,27,0)," ")</f>
        <v xml:space="preserve"> </v>
      </c>
      <c r="T26" s="50" t="str">
        <f>IFERROR(VLOOKUP(P26,'Calificación Controles'!$B$7:$AB$36,27,0), " ")</f>
        <v xml:space="preserve"> </v>
      </c>
      <c r="U26" s="56" t="str">
        <f t="shared" si="11"/>
        <v xml:space="preserve"> </v>
      </c>
      <c r="V26" s="56"/>
      <c r="W26" s="58" t="str">
        <f t="shared" si="3"/>
        <v xml:space="preserve"> </v>
      </c>
      <c r="X26" s="58">
        <f t="shared" si="4"/>
        <v>0</v>
      </c>
      <c r="Y26" s="71" t="str">
        <f t="shared" si="5"/>
        <v xml:space="preserve"> </v>
      </c>
      <c r="Z26" s="48" t="str">
        <f t="shared" si="0"/>
        <v xml:space="preserve"> </v>
      </c>
      <c r="AA26" s="72"/>
      <c r="AB26" s="72" t="str">
        <f t="shared" si="6"/>
        <v xml:space="preserve"> </v>
      </c>
      <c r="AC26" s="73">
        <f t="shared" si="7"/>
        <v>0</v>
      </c>
      <c r="AD26" s="73"/>
      <c r="AE26" s="72" t="str">
        <f t="shared" si="8"/>
        <v xml:space="preserve"> </v>
      </c>
      <c r="AF26" s="48" t="str">
        <f t="shared" si="9"/>
        <v xml:space="preserve"> </v>
      </c>
      <c r="AG26" s="72"/>
      <c r="AH26" s="73">
        <f t="shared" si="12"/>
        <v>0</v>
      </c>
    </row>
    <row r="27" spans="1:35" s="48" customFormat="1" x14ac:dyDescent="0.3">
      <c r="A27" s="48">
        <f t="shared" si="10"/>
        <v>21</v>
      </c>
      <c r="B27" s="87"/>
      <c r="C27" s="84"/>
      <c r="D27" s="84"/>
      <c r="H27" s="48" t="str">
        <f t="shared" si="1"/>
        <v xml:space="preserve"> </v>
      </c>
      <c r="I27" s="69"/>
      <c r="K27" s="48" t="str">
        <f t="shared" si="2"/>
        <v xml:space="preserve"> </v>
      </c>
      <c r="M27" s="48" t="str">
        <f t="shared" si="13"/>
        <v xml:space="preserve"> </v>
      </c>
      <c r="N27" s="49"/>
      <c r="O27" s="49"/>
      <c r="P27" s="49"/>
      <c r="Q27" s="49"/>
      <c r="R27" s="50" t="str">
        <f>IFERROR(VLOOKUP(N27,'Calificación Controles'!$B$7:$AB$36,27,0)," ")</f>
        <v xml:space="preserve"> </v>
      </c>
      <c r="S27" s="50" t="str">
        <f>IFERROR(VLOOKUP(O27,'Calificación Controles'!$B$7:$AB$36,27,0)," ")</f>
        <v xml:space="preserve"> </v>
      </c>
      <c r="T27" s="50" t="str">
        <f>IFERROR(VLOOKUP(P27,'Calificación Controles'!$B$7:$AB$36,27,0), " ")</f>
        <v xml:space="preserve"> </v>
      </c>
      <c r="U27" s="56" t="str">
        <f t="shared" si="11"/>
        <v xml:space="preserve"> </v>
      </c>
      <c r="V27" s="56"/>
      <c r="W27" s="58" t="str">
        <f t="shared" si="3"/>
        <v xml:space="preserve"> </v>
      </c>
      <c r="X27" s="58">
        <f t="shared" si="4"/>
        <v>0</v>
      </c>
      <c r="Y27" s="71" t="str">
        <f t="shared" si="5"/>
        <v xml:space="preserve"> </v>
      </c>
      <c r="Z27" s="48" t="str">
        <f t="shared" si="0"/>
        <v xml:space="preserve"> </v>
      </c>
      <c r="AA27" s="72"/>
      <c r="AB27" s="72" t="str">
        <f t="shared" si="6"/>
        <v xml:space="preserve"> </v>
      </c>
      <c r="AC27" s="73">
        <f t="shared" si="7"/>
        <v>0</v>
      </c>
      <c r="AD27" s="73"/>
      <c r="AE27" s="72" t="str">
        <f t="shared" si="8"/>
        <v xml:space="preserve"> </v>
      </c>
      <c r="AF27" s="48" t="str">
        <f t="shared" si="9"/>
        <v xml:space="preserve"> </v>
      </c>
      <c r="AG27" s="72"/>
      <c r="AH27" s="73">
        <f t="shared" si="12"/>
        <v>0</v>
      </c>
    </row>
    <row r="28" spans="1:35" s="48" customFormat="1" x14ac:dyDescent="0.3">
      <c r="A28" s="48">
        <f t="shared" si="10"/>
        <v>22</v>
      </c>
      <c r="B28" s="87"/>
      <c r="C28" s="84"/>
      <c r="D28" s="84"/>
      <c r="H28" s="48" t="str">
        <f t="shared" si="1"/>
        <v xml:space="preserve"> </v>
      </c>
      <c r="I28" s="69"/>
      <c r="K28" s="48" t="str">
        <f t="shared" si="2"/>
        <v xml:space="preserve"> </v>
      </c>
      <c r="M28" s="48" t="str">
        <f t="shared" si="13"/>
        <v xml:space="preserve"> </v>
      </c>
      <c r="N28" s="49"/>
      <c r="O28" s="49"/>
      <c r="P28" s="49"/>
      <c r="Q28" s="49"/>
      <c r="R28" s="50" t="str">
        <f>IFERROR(VLOOKUP(N28,'Calificación Controles'!$B$7:$AB$36,27,0)," ")</f>
        <v xml:space="preserve"> </v>
      </c>
      <c r="S28" s="50" t="str">
        <f>IFERROR(VLOOKUP(O28,'Calificación Controles'!$B$7:$AB$36,27,0)," ")</f>
        <v xml:space="preserve"> </v>
      </c>
      <c r="T28" s="50" t="str">
        <f>IFERROR(VLOOKUP(P28,'Calificación Controles'!$B$7:$AB$36,27,0), " ")</f>
        <v xml:space="preserve"> </v>
      </c>
      <c r="U28" s="56" t="str">
        <f t="shared" si="11"/>
        <v xml:space="preserve"> </v>
      </c>
      <c r="V28" s="56"/>
      <c r="W28" s="58" t="str">
        <f t="shared" si="3"/>
        <v xml:space="preserve"> </v>
      </c>
      <c r="X28" s="58">
        <f t="shared" si="4"/>
        <v>0</v>
      </c>
      <c r="Y28" s="71" t="str">
        <f t="shared" si="5"/>
        <v xml:space="preserve"> </v>
      </c>
      <c r="Z28" s="48" t="str">
        <f>IFERROR(ROUND(IF(Y28&lt;=1,1,IF(Y28&gt;1,Y28," ")),0)," ")</f>
        <v xml:space="preserve"> </v>
      </c>
      <c r="AA28" s="72"/>
      <c r="AB28" s="72" t="str">
        <f t="shared" si="6"/>
        <v xml:space="preserve"> </v>
      </c>
      <c r="AC28" s="73">
        <f t="shared" si="7"/>
        <v>0</v>
      </c>
      <c r="AD28" s="73"/>
      <c r="AE28" s="72" t="str">
        <f t="shared" si="8"/>
        <v xml:space="preserve"> </v>
      </c>
      <c r="AF28" s="48" t="str">
        <f t="shared" si="9"/>
        <v xml:space="preserve"> </v>
      </c>
      <c r="AG28" s="72"/>
      <c r="AH28" s="73">
        <f t="shared" si="12"/>
        <v>0</v>
      </c>
    </row>
    <row r="29" spans="1:35" s="48" customFormat="1" x14ac:dyDescent="0.3">
      <c r="A29" s="48">
        <f t="shared" si="10"/>
        <v>23</v>
      </c>
      <c r="B29" s="87"/>
      <c r="C29" s="84"/>
      <c r="D29" s="84"/>
      <c r="H29" s="48" t="str">
        <f t="shared" si="1"/>
        <v xml:space="preserve"> </v>
      </c>
      <c r="I29" s="69"/>
      <c r="K29" s="48" t="str">
        <f t="shared" si="2"/>
        <v xml:space="preserve"> </v>
      </c>
      <c r="M29" s="48" t="str">
        <f t="shared" si="13"/>
        <v xml:space="preserve"> </v>
      </c>
      <c r="N29" s="49"/>
      <c r="O29" s="49"/>
      <c r="P29" s="49"/>
      <c r="Q29" s="49"/>
      <c r="R29" s="50" t="str">
        <f>IFERROR(VLOOKUP(N29,'Calificación Controles'!$B$7:$AB$36,27,0)," ")</f>
        <v xml:space="preserve"> </v>
      </c>
      <c r="S29" s="50" t="str">
        <f>IFERROR(VLOOKUP(O29,'Calificación Controles'!$B$7:$AB$36,27,0)," ")</f>
        <v xml:space="preserve"> </v>
      </c>
      <c r="T29" s="50" t="str">
        <f>IFERROR(VLOOKUP(P29,'Calificación Controles'!$B$7:$AB$36,27,0), " ")</f>
        <v xml:space="preserve"> </v>
      </c>
      <c r="U29" s="56" t="str">
        <f t="shared" si="11"/>
        <v xml:space="preserve"> </v>
      </c>
      <c r="V29" s="56"/>
      <c r="W29" s="58" t="str">
        <f t="shared" si="3"/>
        <v xml:space="preserve"> </v>
      </c>
      <c r="X29" s="58">
        <f t="shared" si="4"/>
        <v>0</v>
      </c>
      <c r="Y29" s="71" t="str">
        <f t="shared" si="5"/>
        <v xml:space="preserve"> </v>
      </c>
      <c r="Z29" s="48" t="str">
        <f t="shared" ref="Z29:Z42" si="14">IFERROR(ROUND(IF(Y29&lt;=1,1,IF(Y29&gt;1,Y29," ")),0)," ")</f>
        <v xml:space="preserve"> </v>
      </c>
      <c r="AA29" s="72"/>
      <c r="AB29" s="72" t="str">
        <f t="shared" si="6"/>
        <v xml:space="preserve"> </v>
      </c>
      <c r="AC29" s="73">
        <f t="shared" si="7"/>
        <v>0</v>
      </c>
      <c r="AD29" s="73"/>
      <c r="AE29" s="72" t="str">
        <f t="shared" si="8"/>
        <v xml:space="preserve"> </v>
      </c>
      <c r="AF29" s="48" t="str">
        <f t="shared" si="9"/>
        <v xml:space="preserve"> </v>
      </c>
      <c r="AG29" s="72"/>
      <c r="AH29" s="73">
        <f t="shared" si="12"/>
        <v>0</v>
      </c>
    </row>
    <row r="30" spans="1:35" s="48" customFormat="1" x14ac:dyDescent="0.3">
      <c r="A30" s="48">
        <f t="shared" si="10"/>
        <v>24</v>
      </c>
      <c r="B30" s="87"/>
      <c r="C30" s="84"/>
      <c r="D30" s="84"/>
      <c r="H30" s="48" t="str">
        <f t="shared" si="1"/>
        <v xml:space="preserve"> </v>
      </c>
      <c r="I30" s="69"/>
      <c r="K30" s="48" t="str">
        <f t="shared" si="2"/>
        <v xml:space="preserve"> </v>
      </c>
      <c r="M30" s="48" t="str">
        <f t="shared" si="13"/>
        <v xml:space="preserve"> </v>
      </c>
      <c r="N30" s="49"/>
      <c r="O30" s="49"/>
      <c r="P30" s="49"/>
      <c r="Q30" s="49"/>
      <c r="R30" s="50" t="str">
        <f>IFERROR(VLOOKUP(N30,'Calificación Controles'!$B$7:$AB$36,27,0)," ")</f>
        <v xml:space="preserve"> </v>
      </c>
      <c r="S30" s="50" t="str">
        <f>IFERROR(VLOOKUP(O30,'Calificación Controles'!$B$7:$AB$36,27,0)," ")</f>
        <v xml:space="preserve"> </v>
      </c>
      <c r="T30" s="50" t="str">
        <f>IFERROR(VLOOKUP(P30,'Calificación Controles'!$B$7:$AB$36,27,0), " ")</f>
        <v xml:space="preserve"> </v>
      </c>
      <c r="U30" s="56" t="str">
        <f t="shared" si="11"/>
        <v xml:space="preserve"> </v>
      </c>
      <c r="V30" s="56"/>
      <c r="W30" s="58" t="str">
        <f t="shared" si="3"/>
        <v xml:space="preserve"> </v>
      </c>
      <c r="X30" s="58">
        <f t="shared" si="4"/>
        <v>0</v>
      </c>
      <c r="Y30" s="71" t="str">
        <f t="shared" si="5"/>
        <v xml:space="preserve"> </v>
      </c>
      <c r="Z30" s="48" t="str">
        <f t="shared" si="14"/>
        <v xml:space="preserve"> </v>
      </c>
      <c r="AA30" s="72"/>
      <c r="AB30" s="72" t="str">
        <f t="shared" si="6"/>
        <v xml:space="preserve"> </v>
      </c>
      <c r="AC30" s="73">
        <f t="shared" si="7"/>
        <v>0</v>
      </c>
      <c r="AD30" s="73"/>
      <c r="AE30" s="72" t="str">
        <f t="shared" si="8"/>
        <v xml:space="preserve"> </v>
      </c>
      <c r="AF30" s="48" t="str">
        <f t="shared" si="9"/>
        <v xml:space="preserve"> </v>
      </c>
      <c r="AG30" s="72"/>
      <c r="AH30" s="73">
        <f t="shared" si="12"/>
        <v>0</v>
      </c>
    </row>
    <row r="31" spans="1:35" x14ac:dyDescent="0.3">
      <c r="A31" s="48">
        <f t="shared" si="10"/>
        <v>25</v>
      </c>
      <c r="B31" s="87"/>
      <c r="C31" s="84"/>
      <c r="D31" s="84"/>
      <c r="E31" s="48"/>
      <c r="G31" s="48"/>
      <c r="H31" s="48" t="str">
        <f t="shared" si="1"/>
        <v xml:space="preserve"> </v>
      </c>
      <c r="I31" s="69"/>
      <c r="J31" s="48"/>
      <c r="K31" s="48" t="str">
        <f t="shared" si="2"/>
        <v xml:space="preserve"> </v>
      </c>
      <c r="L31" s="48"/>
      <c r="M31" s="48" t="str">
        <f t="shared" si="13"/>
        <v xml:space="preserve"> </v>
      </c>
      <c r="N31" s="49"/>
      <c r="O31" s="49"/>
      <c r="P31" s="49"/>
      <c r="Q31" s="49"/>
      <c r="R31" s="50" t="str">
        <f>IFERROR(VLOOKUP(N31,'Calificación Controles'!$B$7:$AB$36,27,0)," ")</f>
        <v xml:space="preserve"> </v>
      </c>
      <c r="S31" s="50" t="str">
        <f>IFERROR(VLOOKUP(O31,'Calificación Controles'!$B$7:$AB$36,27,0)," ")</f>
        <v xml:space="preserve"> </v>
      </c>
      <c r="T31" s="50" t="str">
        <f>IFERROR(VLOOKUP(P31,'Calificación Controles'!$B$7:$AB$36,27,0), " ")</f>
        <v xml:space="preserve"> </v>
      </c>
      <c r="U31" s="56" t="str">
        <f t="shared" si="11"/>
        <v xml:space="preserve"> </v>
      </c>
      <c r="V31" s="56"/>
      <c r="W31" s="58" t="str">
        <f t="shared" si="3"/>
        <v xml:space="preserve"> </v>
      </c>
      <c r="X31" s="58">
        <f t="shared" si="4"/>
        <v>0</v>
      </c>
      <c r="Y31" s="71" t="str">
        <f t="shared" si="5"/>
        <v xml:space="preserve"> </v>
      </c>
      <c r="Z31" s="48" t="str">
        <f t="shared" si="14"/>
        <v xml:space="preserve"> </v>
      </c>
      <c r="AA31" s="72"/>
      <c r="AB31" s="72" t="str">
        <f t="shared" si="6"/>
        <v xml:space="preserve"> </v>
      </c>
      <c r="AC31" s="73">
        <f t="shared" si="7"/>
        <v>0</v>
      </c>
      <c r="AD31" s="73"/>
      <c r="AE31" s="72" t="str">
        <f t="shared" si="8"/>
        <v xml:space="preserve"> </v>
      </c>
      <c r="AF31" s="48" t="str">
        <f t="shared" si="9"/>
        <v xml:space="preserve"> </v>
      </c>
      <c r="AG31" s="72"/>
      <c r="AH31" s="73">
        <f t="shared" si="12"/>
        <v>0</v>
      </c>
      <c r="AI31" s="48"/>
    </row>
    <row r="32" spans="1:35" x14ac:dyDescent="0.3">
      <c r="A32" s="48">
        <f t="shared" si="10"/>
        <v>26</v>
      </c>
      <c r="B32" s="87"/>
      <c r="C32" s="84"/>
      <c r="D32" s="84"/>
      <c r="E32" s="48"/>
      <c r="G32" s="48"/>
      <c r="H32" s="48" t="str">
        <f t="shared" si="1"/>
        <v xml:space="preserve"> </v>
      </c>
      <c r="I32" s="69"/>
      <c r="J32" s="48"/>
      <c r="K32" s="48" t="str">
        <f t="shared" si="2"/>
        <v xml:space="preserve"> </v>
      </c>
      <c r="L32" s="48"/>
      <c r="M32" s="48" t="str">
        <f t="shared" si="13"/>
        <v xml:space="preserve"> </v>
      </c>
      <c r="N32" s="49"/>
      <c r="O32" s="49"/>
      <c r="P32" s="49"/>
      <c r="Q32" s="49"/>
      <c r="R32" s="50" t="str">
        <f>IFERROR(VLOOKUP(N32,'Calificación Controles'!$B$7:$AB$36,27,0)," ")</f>
        <v xml:space="preserve"> </v>
      </c>
      <c r="S32" s="50" t="str">
        <f>IFERROR(VLOOKUP(O32,'Calificación Controles'!$B$7:$AB$36,27,0)," ")</f>
        <v xml:space="preserve"> </v>
      </c>
      <c r="T32" s="50" t="str">
        <f>IFERROR(VLOOKUP(P32,'Calificación Controles'!$B$7:$AB$36,27,0), " ")</f>
        <v xml:space="preserve"> </v>
      </c>
      <c r="U32" s="56" t="str">
        <f t="shared" si="11"/>
        <v xml:space="preserve"> </v>
      </c>
      <c r="V32" s="56"/>
      <c r="W32" s="58" t="str">
        <f t="shared" si="3"/>
        <v xml:space="preserve"> </v>
      </c>
      <c r="X32" s="58">
        <f t="shared" si="4"/>
        <v>0</v>
      </c>
      <c r="Y32" s="71" t="str">
        <f t="shared" si="5"/>
        <v xml:space="preserve"> </v>
      </c>
      <c r="Z32" s="48" t="str">
        <f t="shared" si="14"/>
        <v xml:space="preserve"> </v>
      </c>
      <c r="AA32" s="72"/>
      <c r="AB32" s="72" t="str">
        <f t="shared" si="6"/>
        <v xml:space="preserve"> </v>
      </c>
      <c r="AC32" s="73">
        <f t="shared" si="7"/>
        <v>0</v>
      </c>
      <c r="AD32" s="73"/>
      <c r="AE32" s="72" t="str">
        <f t="shared" si="8"/>
        <v xml:space="preserve"> </v>
      </c>
      <c r="AF32" s="48" t="str">
        <f t="shared" si="9"/>
        <v xml:space="preserve"> </v>
      </c>
      <c r="AG32" s="72"/>
      <c r="AH32" s="73">
        <f t="shared" si="12"/>
        <v>0</v>
      </c>
      <c r="AI32" s="48"/>
    </row>
    <row r="33" spans="1:35" x14ac:dyDescent="0.3">
      <c r="A33" s="48">
        <f t="shared" si="10"/>
        <v>27</v>
      </c>
      <c r="B33" s="87"/>
      <c r="C33" s="84"/>
      <c r="D33" s="84"/>
      <c r="E33" s="48"/>
      <c r="G33" s="48"/>
      <c r="H33" s="48" t="str">
        <f t="shared" si="1"/>
        <v xml:space="preserve"> </v>
      </c>
      <c r="I33" s="69"/>
      <c r="J33" s="48"/>
      <c r="K33" s="48" t="str">
        <f t="shared" si="2"/>
        <v xml:space="preserve"> </v>
      </c>
      <c r="L33" s="48"/>
      <c r="M33" s="48" t="str">
        <f t="shared" si="13"/>
        <v xml:space="preserve"> </v>
      </c>
      <c r="N33" s="49"/>
      <c r="O33" s="49"/>
      <c r="P33" s="49"/>
      <c r="Q33" s="49"/>
      <c r="R33" s="50" t="str">
        <f>IFERROR(VLOOKUP(N33,'Calificación Controles'!$B$7:$AB$36,27,0)," ")</f>
        <v xml:space="preserve"> </v>
      </c>
      <c r="S33" s="50" t="str">
        <f>IFERROR(VLOOKUP(O33,'Calificación Controles'!$B$7:$AB$36,27,0)," ")</f>
        <v xml:space="preserve"> </v>
      </c>
      <c r="T33" s="50" t="str">
        <f>IFERROR(VLOOKUP(P33,'Calificación Controles'!$B$7:$AB$36,27,0), " ")</f>
        <v xml:space="preserve"> </v>
      </c>
      <c r="U33" s="56" t="str">
        <f t="shared" si="11"/>
        <v xml:space="preserve"> </v>
      </c>
      <c r="V33" s="56"/>
      <c r="W33" s="58" t="str">
        <f t="shared" si="3"/>
        <v xml:space="preserve"> </v>
      </c>
      <c r="X33" s="58">
        <f t="shared" si="4"/>
        <v>0</v>
      </c>
      <c r="Y33" s="71" t="str">
        <f t="shared" si="5"/>
        <v xml:space="preserve"> </v>
      </c>
      <c r="Z33" s="48" t="str">
        <f t="shared" si="14"/>
        <v xml:space="preserve"> </v>
      </c>
      <c r="AA33" s="72"/>
      <c r="AB33" s="72" t="str">
        <f t="shared" si="6"/>
        <v xml:space="preserve"> </v>
      </c>
      <c r="AC33" s="73">
        <f t="shared" si="7"/>
        <v>0</v>
      </c>
      <c r="AD33" s="73"/>
      <c r="AE33" s="72" t="str">
        <f t="shared" si="8"/>
        <v xml:space="preserve"> </v>
      </c>
      <c r="AF33" s="48" t="str">
        <f t="shared" si="9"/>
        <v xml:space="preserve"> </v>
      </c>
      <c r="AG33" s="72"/>
      <c r="AH33" s="73">
        <f t="shared" si="12"/>
        <v>0</v>
      </c>
      <c r="AI33" s="48"/>
    </row>
    <row r="34" spans="1:35" x14ac:dyDescent="0.3">
      <c r="A34" s="48">
        <f t="shared" si="10"/>
        <v>28</v>
      </c>
      <c r="B34" s="87"/>
      <c r="C34" s="84"/>
      <c r="D34" s="84"/>
      <c r="E34" s="48"/>
      <c r="G34" s="48"/>
      <c r="H34" s="48" t="str">
        <f t="shared" si="1"/>
        <v xml:space="preserve"> </v>
      </c>
      <c r="I34" s="69"/>
      <c r="J34" s="48"/>
      <c r="K34" s="48" t="str">
        <f t="shared" si="2"/>
        <v xml:space="preserve"> </v>
      </c>
      <c r="L34" s="48"/>
      <c r="M34" s="48" t="str">
        <f t="shared" si="13"/>
        <v xml:space="preserve"> </v>
      </c>
      <c r="N34" s="49"/>
      <c r="O34" s="49"/>
      <c r="P34" s="49"/>
      <c r="Q34" s="49"/>
      <c r="R34" s="50" t="str">
        <f>IFERROR(VLOOKUP(N34,'Calificación Controles'!$B$7:$AB$36,27,0)," ")</f>
        <v xml:space="preserve"> </v>
      </c>
      <c r="S34" s="50" t="str">
        <f>IFERROR(VLOOKUP(O34,'Calificación Controles'!$B$7:$AB$36,27,0)," ")</f>
        <v xml:space="preserve"> </v>
      </c>
      <c r="T34" s="50" t="str">
        <f>IFERROR(VLOOKUP(P34,'Calificación Controles'!$B$7:$AB$36,27,0), " ")</f>
        <v xml:space="preserve"> </v>
      </c>
      <c r="U34" s="56" t="str">
        <f t="shared" si="11"/>
        <v xml:space="preserve"> </v>
      </c>
      <c r="V34" s="56"/>
      <c r="W34" s="58" t="str">
        <f t="shared" si="3"/>
        <v xml:space="preserve"> </v>
      </c>
      <c r="X34" s="58">
        <f t="shared" si="4"/>
        <v>0</v>
      </c>
      <c r="Y34" s="71" t="str">
        <f t="shared" si="5"/>
        <v xml:space="preserve"> </v>
      </c>
      <c r="Z34" s="48" t="str">
        <f t="shared" si="14"/>
        <v xml:space="preserve"> </v>
      </c>
      <c r="AA34" s="72"/>
      <c r="AB34" s="72" t="str">
        <f t="shared" si="6"/>
        <v xml:space="preserve"> </v>
      </c>
      <c r="AC34" s="73">
        <f t="shared" si="7"/>
        <v>0</v>
      </c>
      <c r="AD34" s="73"/>
      <c r="AE34" s="72" t="str">
        <f t="shared" si="8"/>
        <v xml:space="preserve"> </v>
      </c>
      <c r="AF34" s="48" t="str">
        <f t="shared" si="9"/>
        <v xml:space="preserve"> </v>
      </c>
      <c r="AG34" s="72"/>
      <c r="AH34" s="73">
        <f t="shared" si="12"/>
        <v>0</v>
      </c>
      <c r="AI34" s="48"/>
    </row>
    <row r="35" spans="1:35" x14ac:dyDescent="0.3">
      <c r="A35" s="48">
        <f t="shared" si="10"/>
        <v>29</v>
      </c>
      <c r="B35" s="87"/>
      <c r="C35" s="84"/>
      <c r="D35" s="84"/>
      <c r="E35" s="48"/>
      <c r="G35" s="48"/>
      <c r="H35" s="48" t="str">
        <f t="shared" si="1"/>
        <v xml:space="preserve"> </v>
      </c>
      <c r="I35" s="69"/>
      <c r="J35" s="48"/>
      <c r="K35" s="48" t="str">
        <f t="shared" si="2"/>
        <v xml:space="preserve"> </v>
      </c>
      <c r="L35" s="48"/>
      <c r="M35" s="48" t="str">
        <f t="shared" si="13"/>
        <v xml:space="preserve"> </v>
      </c>
      <c r="N35" s="49"/>
      <c r="O35" s="49"/>
      <c r="P35" s="49"/>
      <c r="Q35" s="49"/>
      <c r="R35" s="50" t="str">
        <f>IFERROR(VLOOKUP(N35,'Calificación Controles'!$B$7:$AB$36,27,0)," ")</f>
        <v xml:space="preserve"> </v>
      </c>
      <c r="S35" s="50" t="str">
        <f>IFERROR(VLOOKUP(O35,'Calificación Controles'!$B$7:$AB$36,27,0)," ")</f>
        <v xml:space="preserve"> </v>
      </c>
      <c r="T35" s="50" t="str">
        <f>IFERROR(VLOOKUP(P35,'Calificación Controles'!$B$7:$AB$36,27,0), " ")</f>
        <v xml:space="preserve"> </v>
      </c>
      <c r="U35" s="56" t="str">
        <f t="shared" si="11"/>
        <v xml:space="preserve"> </v>
      </c>
      <c r="V35" s="56"/>
      <c r="W35" s="58" t="str">
        <f t="shared" si="3"/>
        <v xml:space="preserve"> </v>
      </c>
      <c r="X35" s="58">
        <f t="shared" si="4"/>
        <v>0</v>
      </c>
      <c r="Y35" s="71" t="str">
        <f t="shared" si="5"/>
        <v xml:space="preserve"> </v>
      </c>
      <c r="Z35" s="48" t="str">
        <f t="shared" si="14"/>
        <v xml:space="preserve"> </v>
      </c>
      <c r="AA35" s="72"/>
      <c r="AB35" s="72" t="str">
        <f t="shared" si="6"/>
        <v xml:space="preserve"> </v>
      </c>
      <c r="AC35" s="73">
        <f t="shared" si="7"/>
        <v>0</v>
      </c>
      <c r="AD35" s="73"/>
      <c r="AE35" s="72" t="str">
        <f t="shared" si="8"/>
        <v xml:space="preserve"> </v>
      </c>
      <c r="AF35" s="48" t="str">
        <f t="shared" ref="AF35:AF44" si="15">IF(AE35&lt;=1,1,IF(AE35&gt;1,AE35," "))</f>
        <v xml:space="preserve"> </v>
      </c>
      <c r="AG35" s="72"/>
      <c r="AH35" s="73">
        <f t="shared" si="12"/>
        <v>0</v>
      </c>
      <c r="AI35" s="48"/>
    </row>
    <row r="36" spans="1:35" x14ac:dyDescent="0.3">
      <c r="A36" s="48">
        <f t="shared" si="10"/>
        <v>30</v>
      </c>
      <c r="B36" s="87"/>
      <c r="C36" s="84"/>
      <c r="D36" s="84"/>
      <c r="E36" s="48"/>
      <c r="G36" s="48"/>
      <c r="H36" s="48" t="str">
        <f t="shared" si="1"/>
        <v xml:space="preserve"> </v>
      </c>
      <c r="I36" s="69"/>
      <c r="J36" s="48"/>
      <c r="K36" s="48" t="str">
        <f t="shared" si="2"/>
        <v xml:space="preserve"> </v>
      </c>
      <c r="L36" s="48"/>
      <c r="M36" s="48" t="str">
        <f t="shared" si="13"/>
        <v xml:space="preserve"> </v>
      </c>
      <c r="N36" s="49"/>
      <c r="O36" s="49"/>
      <c r="P36" s="49"/>
      <c r="Q36" s="49"/>
      <c r="R36" s="50" t="str">
        <f>IFERROR(VLOOKUP(N36,'Calificación Controles'!$B$7:$AB$36,27,0)," ")</f>
        <v xml:space="preserve"> </v>
      </c>
      <c r="S36" s="50" t="str">
        <f>IFERROR(VLOOKUP(O36,'Calificación Controles'!$B$7:$AB$36,27,0)," ")</f>
        <v xml:space="preserve"> </v>
      </c>
      <c r="T36" s="50" t="str">
        <f>IFERROR(VLOOKUP(P36,'Calificación Controles'!$B$7:$AB$36,27,0), " ")</f>
        <v xml:space="preserve"> </v>
      </c>
      <c r="U36" s="56" t="str">
        <f t="shared" si="11"/>
        <v xml:space="preserve"> </v>
      </c>
      <c r="V36" s="56"/>
      <c r="W36" s="58" t="str">
        <f t="shared" si="3"/>
        <v xml:space="preserve"> </v>
      </c>
      <c r="X36" s="58">
        <f t="shared" si="4"/>
        <v>0</v>
      </c>
      <c r="Y36" s="71" t="str">
        <f t="shared" si="5"/>
        <v xml:space="preserve"> </v>
      </c>
      <c r="Z36" s="48" t="str">
        <f t="shared" si="14"/>
        <v xml:space="preserve"> </v>
      </c>
      <c r="AA36" s="72"/>
      <c r="AB36" s="72" t="str">
        <f t="shared" si="6"/>
        <v xml:space="preserve"> </v>
      </c>
      <c r="AC36" s="73">
        <f t="shared" si="7"/>
        <v>0</v>
      </c>
      <c r="AD36" s="73"/>
      <c r="AE36" s="72" t="str">
        <f t="shared" si="8"/>
        <v xml:space="preserve"> </v>
      </c>
      <c r="AF36" s="48" t="str">
        <f t="shared" si="15"/>
        <v xml:space="preserve"> </v>
      </c>
      <c r="AG36" s="72"/>
      <c r="AH36" s="73">
        <f t="shared" si="12"/>
        <v>0</v>
      </c>
      <c r="AI36" s="48"/>
    </row>
    <row r="37" spans="1:35" x14ac:dyDescent="0.3">
      <c r="A37" s="48">
        <f t="shared" si="10"/>
        <v>31</v>
      </c>
      <c r="B37" s="87"/>
      <c r="C37" s="84"/>
      <c r="D37" s="84"/>
      <c r="E37" s="48"/>
      <c r="G37" s="48"/>
      <c r="H37" s="48" t="str">
        <f t="shared" si="1"/>
        <v xml:space="preserve"> </v>
      </c>
      <c r="I37" s="69"/>
      <c r="J37" s="48"/>
      <c r="K37" s="48" t="str">
        <f t="shared" si="2"/>
        <v xml:space="preserve"> </v>
      </c>
      <c r="L37" s="48"/>
      <c r="M37" s="48" t="str">
        <f t="shared" si="13"/>
        <v xml:space="preserve"> </v>
      </c>
      <c r="N37" s="49"/>
      <c r="O37" s="49"/>
      <c r="P37" s="49"/>
      <c r="Q37" s="49"/>
      <c r="R37" s="50" t="str">
        <f>IFERROR(VLOOKUP(N37,'Calificación Controles'!$B$7:$AB$36,27,0)," ")</f>
        <v xml:space="preserve"> </v>
      </c>
      <c r="S37" s="50" t="str">
        <f>IFERROR(VLOOKUP(O37,'Calificación Controles'!$B$7:$AB$36,27,0)," ")</f>
        <v xml:space="preserve"> </v>
      </c>
      <c r="T37" s="50" t="str">
        <f>IFERROR(VLOOKUP(P37,'Calificación Controles'!$B$7:$AB$36,27,0), " ")</f>
        <v xml:space="preserve"> </v>
      </c>
      <c r="U37" s="56" t="str">
        <f t="shared" si="11"/>
        <v xml:space="preserve"> </v>
      </c>
      <c r="V37" s="56"/>
      <c r="W37" s="58" t="str">
        <f t="shared" si="3"/>
        <v xml:space="preserve"> </v>
      </c>
      <c r="X37" s="58">
        <f t="shared" si="4"/>
        <v>0</v>
      </c>
      <c r="Y37" s="71" t="str">
        <f t="shared" si="5"/>
        <v xml:space="preserve"> </v>
      </c>
      <c r="Z37" s="48" t="str">
        <f t="shared" si="14"/>
        <v xml:space="preserve"> </v>
      </c>
      <c r="AA37" s="72"/>
      <c r="AB37" s="72" t="str">
        <f t="shared" si="6"/>
        <v xml:space="preserve"> </v>
      </c>
      <c r="AC37" s="73">
        <f t="shared" si="7"/>
        <v>0</v>
      </c>
      <c r="AD37" s="73"/>
      <c r="AE37" s="72" t="str">
        <f t="shared" si="8"/>
        <v xml:space="preserve"> </v>
      </c>
      <c r="AF37" s="48" t="str">
        <f t="shared" si="15"/>
        <v xml:space="preserve"> </v>
      </c>
      <c r="AG37" s="72"/>
      <c r="AH37" s="73">
        <f t="shared" si="12"/>
        <v>0</v>
      </c>
      <c r="AI37" s="48"/>
    </row>
    <row r="38" spans="1:35" x14ac:dyDescent="0.3">
      <c r="A38" s="48">
        <f t="shared" si="10"/>
        <v>32</v>
      </c>
      <c r="B38" s="87"/>
      <c r="C38" s="84"/>
      <c r="D38" s="84"/>
      <c r="E38" s="48"/>
      <c r="G38" s="48"/>
      <c r="H38" s="48" t="str">
        <f t="shared" si="1"/>
        <v xml:space="preserve"> </v>
      </c>
      <c r="I38" s="69"/>
      <c r="J38" s="48"/>
      <c r="K38" s="48" t="str">
        <f t="shared" si="2"/>
        <v xml:space="preserve"> </v>
      </c>
      <c r="L38" s="48"/>
      <c r="M38" s="48" t="str">
        <f t="shared" si="13"/>
        <v xml:space="preserve"> </v>
      </c>
      <c r="N38" s="49"/>
      <c r="O38" s="49"/>
      <c r="P38" s="49"/>
      <c r="Q38" s="49"/>
      <c r="R38" s="50" t="str">
        <f>IFERROR(VLOOKUP(N38,'Calificación Controles'!$B$7:$AB$36,27,0)," ")</f>
        <v xml:space="preserve"> </v>
      </c>
      <c r="S38" s="50" t="str">
        <f>IFERROR(VLOOKUP(O38,'Calificación Controles'!$B$7:$AB$36,27,0)," ")</f>
        <v xml:space="preserve"> </v>
      </c>
      <c r="T38" s="50" t="str">
        <f>IFERROR(VLOOKUP(P38,'Calificación Controles'!$B$7:$AB$36,27,0), " ")</f>
        <v xml:space="preserve"> </v>
      </c>
      <c r="U38" s="56" t="str">
        <f t="shared" si="11"/>
        <v xml:space="preserve"> </v>
      </c>
      <c r="V38" s="56"/>
      <c r="W38" s="58" t="str">
        <f t="shared" si="3"/>
        <v xml:space="preserve"> </v>
      </c>
      <c r="X38" s="58">
        <f t="shared" si="4"/>
        <v>0</v>
      </c>
      <c r="Y38" s="71" t="str">
        <f t="shared" si="5"/>
        <v xml:space="preserve"> </v>
      </c>
      <c r="Z38" s="48" t="str">
        <f t="shared" si="14"/>
        <v xml:space="preserve"> </v>
      </c>
      <c r="AA38" s="72"/>
      <c r="AB38" s="72" t="str">
        <f t="shared" si="6"/>
        <v xml:space="preserve"> </v>
      </c>
      <c r="AC38" s="73">
        <f t="shared" si="7"/>
        <v>0</v>
      </c>
      <c r="AD38" s="73"/>
      <c r="AE38" s="72" t="str">
        <f t="shared" si="8"/>
        <v xml:space="preserve"> </v>
      </c>
      <c r="AF38" s="48" t="str">
        <f t="shared" si="15"/>
        <v xml:space="preserve"> </v>
      </c>
      <c r="AG38" s="72"/>
      <c r="AH38" s="73">
        <f t="shared" si="12"/>
        <v>0</v>
      </c>
      <c r="AI38" s="48"/>
    </row>
    <row r="39" spans="1:35" x14ac:dyDescent="0.3">
      <c r="A39" s="48">
        <f t="shared" si="10"/>
        <v>33</v>
      </c>
      <c r="B39" s="87"/>
      <c r="C39" s="84"/>
      <c r="D39" s="84"/>
      <c r="E39" s="48"/>
      <c r="G39" s="48"/>
      <c r="H39" s="48" t="str">
        <f t="shared" si="1"/>
        <v xml:space="preserve"> </v>
      </c>
      <c r="I39" s="69"/>
      <c r="J39" s="48"/>
      <c r="K39" s="48" t="str">
        <f t="shared" si="2"/>
        <v xml:space="preserve"> </v>
      </c>
      <c r="L39" s="48"/>
      <c r="M39" s="48" t="str">
        <f t="shared" si="13"/>
        <v xml:space="preserve"> </v>
      </c>
      <c r="N39" s="49"/>
      <c r="O39" s="49"/>
      <c r="P39" s="49"/>
      <c r="Q39" s="49"/>
      <c r="R39" s="50" t="str">
        <f>IFERROR(VLOOKUP(N39,'Calificación Controles'!$B$7:$AB$36,27,0)," ")</f>
        <v xml:space="preserve"> </v>
      </c>
      <c r="S39" s="50" t="str">
        <f>IFERROR(VLOOKUP(O39,'Calificación Controles'!$B$7:$AB$36,27,0)," ")</f>
        <v xml:space="preserve"> </v>
      </c>
      <c r="T39" s="50" t="str">
        <f>IFERROR(VLOOKUP(P39,'Calificación Controles'!$B$7:$AB$36,27,0), " ")</f>
        <v xml:space="preserve"> </v>
      </c>
      <c r="U39" s="56" t="str">
        <f t="shared" si="11"/>
        <v xml:space="preserve"> </v>
      </c>
      <c r="V39" s="56"/>
      <c r="W39" s="58" t="str">
        <f t="shared" si="3"/>
        <v xml:space="preserve"> </v>
      </c>
      <c r="X39" s="58">
        <f t="shared" si="4"/>
        <v>0</v>
      </c>
      <c r="Y39" s="71" t="str">
        <f t="shared" si="5"/>
        <v xml:space="preserve"> </v>
      </c>
      <c r="Z39" s="48" t="str">
        <f t="shared" si="14"/>
        <v xml:space="preserve"> </v>
      </c>
      <c r="AA39" s="72"/>
      <c r="AB39" s="72" t="str">
        <f t="shared" si="6"/>
        <v xml:space="preserve"> </v>
      </c>
      <c r="AC39" s="73">
        <f t="shared" si="7"/>
        <v>0</v>
      </c>
      <c r="AD39" s="73"/>
      <c r="AE39" s="72" t="str">
        <f t="shared" si="8"/>
        <v xml:space="preserve"> </v>
      </c>
      <c r="AF39" s="48" t="str">
        <f t="shared" si="15"/>
        <v xml:space="preserve"> </v>
      </c>
      <c r="AG39" s="72"/>
      <c r="AH39" s="73">
        <f t="shared" si="12"/>
        <v>0</v>
      </c>
      <c r="AI39" s="48"/>
    </row>
    <row r="40" spans="1:35" x14ac:dyDescent="0.3">
      <c r="A40" s="48">
        <f t="shared" si="10"/>
        <v>34</v>
      </c>
      <c r="B40" s="87"/>
      <c r="C40" s="84"/>
      <c r="D40" s="84"/>
      <c r="G40" s="48"/>
      <c r="H40" s="48" t="str">
        <f t="shared" si="1"/>
        <v xml:space="preserve"> </v>
      </c>
      <c r="I40" s="69"/>
      <c r="J40" s="48"/>
      <c r="K40" s="48" t="str">
        <f t="shared" si="2"/>
        <v xml:space="preserve"> </v>
      </c>
      <c r="L40" s="48"/>
      <c r="M40" s="48" t="str">
        <f t="shared" si="13"/>
        <v xml:space="preserve"> </v>
      </c>
      <c r="N40" s="49"/>
      <c r="O40" s="49"/>
      <c r="P40" s="49"/>
      <c r="Q40" s="49"/>
      <c r="R40" s="50" t="str">
        <f>IFERROR(VLOOKUP(N40,'Calificación Controles'!$B$7:$AB$36,27,0)," ")</f>
        <v xml:space="preserve"> </v>
      </c>
      <c r="S40" s="50" t="str">
        <f>IFERROR(VLOOKUP(O40,'Calificación Controles'!$B$7:$AB$36,27,0)," ")</f>
        <v xml:space="preserve"> </v>
      </c>
      <c r="T40" s="50" t="str">
        <f>IFERROR(VLOOKUP(P40,'Calificación Controles'!$B$7:$AB$36,27,0), " ")</f>
        <v xml:space="preserve"> </v>
      </c>
      <c r="U40" s="56" t="str">
        <f t="shared" si="11"/>
        <v xml:space="preserve"> </v>
      </c>
      <c r="V40" s="56"/>
      <c r="W40" s="58" t="str">
        <f t="shared" si="3"/>
        <v xml:space="preserve"> </v>
      </c>
      <c r="X40" s="58">
        <f t="shared" si="4"/>
        <v>0</v>
      </c>
      <c r="Y40" s="71" t="str">
        <f t="shared" si="5"/>
        <v xml:space="preserve"> </v>
      </c>
      <c r="Z40" s="48" t="str">
        <f t="shared" si="14"/>
        <v xml:space="preserve"> </v>
      </c>
      <c r="AA40" s="72"/>
      <c r="AB40" s="72" t="str">
        <f t="shared" si="6"/>
        <v xml:space="preserve"> </v>
      </c>
      <c r="AC40" s="73">
        <f t="shared" si="7"/>
        <v>0</v>
      </c>
      <c r="AD40" s="73"/>
      <c r="AE40" s="72" t="str">
        <f t="shared" si="8"/>
        <v xml:space="preserve"> </v>
      </c>
      <c r="AF40" s="48" t="str">
        <f t="shared" si="15"/>
        <v xml:space="preserve"> </v>
      </c>
      <c r="AG40" s="72"/>
      <c r="AH40" s="73">
        <f t="shared" si="12"/>
        <v>0</v>
      </c>
      <c r="AI40" s="48"/>
    </row>
    <row r="41" spans="1:35" x14ac:dyDescent="0.3">
      <c r="A41" s="48">
        <f t="shared" si="10"/>
        <v>35</v>
      </c>
      <c r="B41" s="87"/>
      <c r="C41" s="84"/>
      <c r="D41" s="84"/>
      <c r="G41" s="48"/>
      <c r="H41" s="48" t="str">
        <f t="shared" si="1"/>
        <v xml:space="preserve"> </v>
      </c>
      <c r="I41" s="69"/>
      <c r="J41" s="48"/>
      <c r="K41" s="48" t="str">
        <f t="shared" si="2"/>
        <v xml:space="preserve"> </v>
      </c>
      <c r="L41" s="48"/>
      <c r="M41" s="48" t="str">
        <f t="shared" si="13"/>
        <v xml:space="preserve"> </v>
      </c>
      <c r="N41" s="49"/>
      <c r="O41" s="49"/>
      <c r="P41" s="49"/>
      <c r="Q41" s="49"/>
      <c r="R41" s="50" t="str">
        <f>IFERROR(VLOOKUP(N41,'Calificación Controles'!$B$7:$AB$36,27,0)," ")</f>
        <v xml:space="preserve"> </v>
      </c>
      <c r="S41" s="50" t="str">
        <f>IFERROR(VLOOKUP(O41,'Calificación Controles'!$B$7:$AB$36,27,0)," ")</f>
        <v xml:space="preserve"> </v>
      </c>
      <c r="T41" s="50" t="str">
        <f>IFERROR(VLOOKUP(P41,'Calificación Controles'!$B$7:$AB$36,27,0), " ")</f>
        <v xml:space="preserve"> </v>
      </c>
      <c r="U41" s="56" t="str">
        <f t="shared" si="11"/>
        <v xml:space="preserve"> </v>
      </c>
      <c r="V41" s="56"/>
      <c r="W41" s="58" t="str">
        <f t="shared" si="3"/>
        <v xml:space="preserve"> </v>
      </c>
      <c r="X41" s="58">
        <f t="shared" si="4"/>
        <v>0</v>
      </c>
      <c r="Y41" s="71" t="str">
        <f t="shared" si="5"/>
        <v xml:space="preserve"> </v>
      </c>
      <c r="Z41" s="48" t="str">
        <f t="shared" si="14"/>
        <v xml:space="preserve"> </v>
      </c>
      <c r="AA41" s="72"/>
      <c r="AB41" s="72" t="str">
        <f t="shared" si="6"/>
        <v xml:space="preserve"> </v>
      </c>
      <c r="AC41" s="73">
        <f t="shared" si="7"/>
        <v>0</v>
      </c>
      <c r="AD41" s="73"/>
      <c r="AE41" s="72" t="str">
        <f t="shared" si="8"/>
        <v xml:space="preserve"> </v>
      </c>
      <c r="AF41" s="48" t="str">
        <f t="shared" si="15"/>
        <v xml:space="preserve"> </v>
      </c>
      <c r="AG41" s="72"/>
      <c r="AH41" s="73">
        <f t="shared" si="12"/>
        <v>0</v>
      </c>
      <c r="AI41" s="48"/>
    </row>
    <row r="42" spans="1:35" x14ac:dyDescent="0.3">
      <c r="A42" s="48">
        <f t="shared" si="10"/>
        <v>36</v>
      </c>
      <c r="B42" s="87"/>
      <c r="C42" s="84"/>
      <c r="D42" s="84"/>
      <c r="H42" s="48" t="str">
        <f t="shared" si="1"/>
        <v xml:space="preserve"> </v>
      </c>
      <c r="I42" s="69"/>
      <c r="K42" s="48" t="str">
        <f t="shared" si="2"/>
        <v xml:space="preserve"> </v>
      </c>
      <c r="L42" s="48"/>
      <c r="M42" s="48" t="str">
        <f t="shared" si="13"/>
        <v xml:space="preserve"> </v>
      </c>
      <c r="R42" s="50" t="str">
        <f>IFERROR(VLOOKUP(N42,'Calificación Controles'!$B$7:$AB$36,27,0)," ")</f>
        <v xml:space="preserve"> </v>
      </c>
      <c r="S42" s="50" t="str">
        <f>IFERROR(VLOOKUP(O42,'Calificación Controles'!$B$7:$AB$36,27,0)," ")</f>
        <v xml:space="preserve"> </v>
      </c>
      <c r="T42" s="50" t="str">
        <f>IFERROR(VLOOKUP(P42,'Calificación Controles'!$B$7:$AB$36,27,0), " ")</f>
        <v xml:space="preserve"> </v>
      </c>
      <c r="U42" s="56" t="str">
        <f t="shared" si="11"/>
        <v xml:space="preserve"> </v>
      </c>
      <c r="V42" s="56"/>
      <c r="W42" s="58" t="str">
        <f t="shared" si="3"/>
        <v xml:space="preserve"> </v>
      </c>
      <c r="X42" s="58">
        <f t="shared" si="4"/>
        <v>0</v>
      </c>
      <c r="Y42" s="71" t="str">
        <f t="shared" si="5"/>
        <v xml:space="preserve"> </v>
      </c>
      <c r="Z42" s="48" t="str">
        <f t="shared" si="14"/>
        <v xml:space="preserve"> </v>
      </c>
      <c r="AA42" s="72"/>
      <c r="AB42" s="72" t="str">
        <f t="shared" si="6"/>
        <v xml:space="preserve"> </v>
      </c>
      <c r="AC42" s="73">
        <f t="shared" si="7"/>
        <v>0</v>
      </c>
      <c r="AD42" s="73"/>
      <c r="AE42" s="72" t="str">
        <f t="shared" si="8"/>
        <v xml:space="preserve"> </v>
      </c>
      <c r="AF42" s="72" t="str">
        <f t="shared" si="15"/>
        <v xml:space="preserve"> </v>
      </c>
      <c r="AG42" s="72"/>
      <c r="AH42" s="73">
        <f t="shared" si="12"/>
        <v>0</v>
      </c>
      <c r="AI42" s="48"/>
    </row>
    <row r="43" spans="1:35" x14ac:dyDescent="0.3">
      <c r="A43" s="48">
        <f t="shared" si="10"/>
        <v>37</v>
      </c>
      <c r="B43" s="87"/>
      <c r="C43" s="84"/>
      <c r="D43" s="84"/>
      <c r="H43" s="48" t="str">
        <f t="shared" si="1"/>
        <v xml:space="preserve"> </v>
      </c>
      <c r="I43" s="69"/>
      <c r="K43" s="48" t="str">
        <f t="shared" si="2"/>
        <v xml:space="preserve"> </v>
      </c>
      <c r="L43" s="48"/>
      <c r="M43" s="48" t="str">
        <f t="shared" si="13"/>
        <v xml:space="preserve"> </v>
      </c>
      <c r="R43" s="50" t="str">
        <f>IFERROR(VLOOKUP(N43,'Calificación Controles'!$B$7:$AB$36,27,0)," ")</f>
        <v xml:space="preserve"> </v>
      </c>
      <c r="S43" s="50" t="str">
        <f>IFERROR(VLOOKUP(O43,'Calificación Controles'!$B$7:$AB$36,27,0)," ")</f>
        <v xml:space="preserve"> </v>
      </c>
      <c r="T43" s="50" t="str">
        <f>IFERROR(VLOOKUP(P43,'Calificación Controles'!$B$7:$AB$36,27,0), " ")</f>
        <v xml:space="preserve"> </v>
      </c>
      <c r="U43" s="56" t="str">
        <f t="shared" si="11"/>
        <v xml:space="preserve"> </v>
      </c>
      <c r="V43" s="56"/>
      <c r="W43" s="58" t="str">
        <f t="shared" si="3"/>
        <v xml:space="preserve"> </v>
      </c>
      <c r="X43" s="58">
        <f t="shared" si="4"/>
        <v>0</v>
      </c>
      <c r="Y43" s="71" t="str">
        <f t="shared" si="5"/>
        <v xml:space="preserve"> </v>
      </c>
      <c r="Z43" s="72"/>
      <c r="AA43" s="72"/>
      <c r="AB43" s="72" t="str">
        <f t="shared" si="6"/>
        <v xml:space="preserve"> </v>
      </c>
      <c r="AC43" s="73">
        <f t="shared" si="7"/>
        <v>0</v>
      </c>
      <c r="AD43" s="73"/>
      <c r="AE43" s="72" t="str">
        <f t="shared" si="8"/>
        <v xml:space="preserve"> </v>
      </c>
      <c r="AF43" s="72" t="str">
        <f t="shared" si="15"/>
        <v xml:space="preserve"> </v>
      </c>
      <c r="AG43" s="72"/>
      <c r="AH43" s="73">
        <f t="shared" si="12"/>
        <v>0</v>
      </c>
      <c r="AI43" s="48"/>
    </row>
    <row r="44" spans="1:35" x14ac:dyDescent="0.3">
      <c r="A44" s="48">
        <f t="shared" si="10"/>
        <v>38</v>
      </c>
      <c r="B44" s="87"/>
      <c r="C44" s="84"/>
      <c r="D44" s="84"/>
      <c r="H44" s="48" t="str">
        <f t="shared" si="1"/>
        <v xml:space="preserve"> </v>
      </c>
      <c r="I44" s="69"/>
      <c r="K44" s="48" t="str">
        <f t="shared" si="2"/>
        <v xml:space="preserve"> </v>
      </c>
      <c r="L44" s="48"/>
      <c r="M44" s="48" t="str">
        <f t="shared" si="13"/>
        <v xml:space="preserve"> </v>
      </c>
      <c r="R44" s="50" t="str">
        <f>IFERROR(VLOOKUP(N44,'Calificación Controles'!$B$7:$AB$36,27,0)," ")</f>
        <v xml:space="preserve"> </v>
      </c>
      <c r="S44" s="50" t="str">
        <f>IFERROR(VLOOKUP(O44,'Calificación Controles'!$B$7:$AB$36,27,0)," ")</f>
        <v xml:space="preserve"> </v>
      </c>
      <c r="T44" s="50" t="str">
        <f>IFERROR(VLOOKUP(P44,'Calificación Controles'!$B$7:$AB$36,27,0), " ")</f>
        <v xml:space="preserve"> </v>
      </c>
      <c r="U44" s="56" t="str">
        <f t="shared" si="11"/>
        <v xml:space="preserve"> </v>
      </c>
      <c r="V44" s="56"/>
      <c r="W44" s="58" t="str">
        <f t="shared" si="3"/>
        <v xml:space="preserve"> </v>
      </c>
      <c r="X44" s="58">
        <f t="shared" si="4"/>
        <v>0</v>
      </c>
      <c r="Y44" s="71" t="str">
        <f t="shared" si="5"/>
        <v xml:space="preserve"> </v>
      </c>
      <c r="Z44" s="72"/>
      <c r="AA44" s="72"/>
      <c r="AB44" s="72" t="str">
        <f t="shared" si="6"/>
        <v xml:space="preserve"> </v>
      </c>
      <c r="AC44" s="73">
        <f t="shared" si="7"/>
        <v>0</v>
      </c>
      <c r="AD44" s="73"/>
      <c r="AE44" s="72" t="str">
        <f t="shared" si="8"/>
        <v xml:space="preserve"> </v>
      </c>
      <c r="AF44" s="72" t="str">
        <f t="shared" si="15"/>
        <v xml:space="preserve"> </v>
      </c>
      <c r="AG44" s="72"/>
      <c r="AH44" s="73">
        <f t="shared" si="12"/>
        <v>0</v>
      </c>
      <c r="AI44" s="48"/>
    </row>
    <row r="45" spans="1:35" x14ac:dyDescent="0.3">
      <c r="A45" s="48">
        <f t="shared" si="10"/>
        <v>39</v>
      </c>
      <c r="B45" s="87"/>
      <c r="C45" s="84"/>
      <c r="D45" s="84"/>
      <c r="H45" s="48" t="str">
        <f t="shared" si="1"/>
        <v xml:space="preserve"> </v>
      </c>
      <c r="I45" s="69"/>
      <c r="K45" s="48" t="str">
        <f t="shared" si="2"/>
        <v xml:space="preserve"> </v>
      </c>
      <c r="L45" s="48"/>
      <c r="M45" s="48" t="str">
        <f t="shared" si="13"/>
        <v xml:space="preserve"> </v>
      </c>
      <c r="R45" s="50" t="str">
        <f>IFERROR(VLOOKUP(N45,'Calificación Controles'!$B$7:$AB$36,27,0)," ")</f>
        <v xml:space="preserve"> </v>
      </c>
      <c r="S45" s="50" t="str">
        <f>IFERROR(VLOOKUP(O45,'Calificación Controles'!$B$7:$AB$36,27,0)," ")</f>
        <v xml:space="preserve"> </v>
      </c>
      <c r="T45" s="50" t="str">
        <f>IFERROR(VLOOKUP(P45,'Calificación Controles'!$B$7:$AB$36,27,0), " ")</f>
        <v xml:space="preserve"> </v>
      </c>
      <c r="U45" s="56" t="str">
        <f t="shared" si="11"/>
        <v xml:space="preserve"> </v>
      </c>
      <c r="V45" s="56"/>
      <c r="W45" s="58" t="str">
        <f t="shared" si="3"/>
        <v xml:space="preserve"> </v>
      </c>
      <c r="X45" s="58">
        <f t="shared" si="4"/>
        <v>0</v>
      </c>
      <c r="Y45" s="71" t="str">
        <f t="shared" si="5"/>
        <v xml:space="preserve"> </v>
      </c>
      <c r="Z45" s="72"/>
      <c r="AA45" s="72"/>
      <c r="AB45" s="72" t="str">
        <f t="shared" si="6"/>
        <v xml:space="preserve"> </v>
      </c>
      <c r="AC45" s="73">
        <f t="shared" si="7"/>
        <v>0</v>
      </c>
      <c r="AD45" s="73"/>
      <c r="AE45" s="72" t="str">
        <f t="shared" si="8"/>
        <v xml:space="preserve"> </v>
      </c>
      <c r="AF45" s="72"/>
      <c r="AG45" s="72"/>
      <c r="AH45" s="73">
        <f t="shared" si="12"/>
        <v>0</v>
      </c>
      <c r="AI45" s="48"/>
    </row>
    <row r="46" spans="1:35" x14ac:dyDescent="0.3">
      <c r="A46" s="48">
        <f t="shared" si="10"/>
        <v>40</v>
      </c>
      <c r="B46" s="87"/>
      <c r="C46" s="84"/>
      <c r="D46" s="84"/>
      <c r="H46" s="48" t="str">
        <f t="shared" si="1"/>
        <v xml:space="preserve"> </v>
      </c>
      <c r="I46" s="69"/>
      <c r="K46" s="48" t="str">
        <f t="shared" si="2"/>
        <v xml:space="preserve"> </v>
      </c>
      <c r="L46" s="48"/>
      <c r="M46" s="48" t="str">
        <f t="shared" si="13"/>
        <v xml:space="preserve"> </v>
      </c>
      <c r="R46" s="50" t="str">
        <f>IFERROR(VLOOKUP(N46,'Calificación Controles'!$B$7:$AB$36,27,0)," ")</f>
        <v xml:space="preserve"> </v>
      </c>
      <c r="S46" s="50" t="str">
        <f>IFERROR(VLOOKUP(O46,'Calificación Controles'!$B$7:$AB$36,27,0)," ")</f>
        <v xml:space="preserve"> </v>
      </c>
      <c r="T46" s="50" t="str">
        <f>IFERROR(VLOOKUP(P46,'Calificación Controles'!$B$7:$AB$36,27,0), " ")</f>
        <v xml:space="preserve"> </v>
      </c>
      <c r="U46" s="56" t="str">
        <f t="shared" si="11"/>
        <v xml:space="preserve"> </v>
      </c>
      <c r="V46" s="56"/>
      <c r="W46" s="58" t="str">
        <f t="shared" si="3"/>
        <v xml:space="preserve"> </v>
      </c>
      <c r="X46" s="58">
        <f t="shared" si="4"/>
        <v>0</v>
      </c>
      <c r="Y46" s="71" t="str">
        <f t="shared" si="5"/>
        <v xml:space="preserve"> </v>
      </c>
      <c r="Z46" s="72"/>
      <c r="AA46" s="72"/>
      <c r="AB46" s="72" t="str">
        <f t="shared" si="6"/>
        <v xml:space="preserve"> </v>
      </c>
      <c r="AC46" s="73">
        <f t="shared" si="7"/>
        <v>0</v>
      </c>
      <c r="AD46" s="73"/>
      <c r="AE46" s="72" t="str">
        <f t="shared" si="8"/>
        <v xml:space="preserve"> </v>
      </c>
      <c r="AF46" s="72"/>
      <c r="AG46" s="72"/>
      <c r="AH46" s="73">
        <f t="shared" si="12"/>
        <v>0</v>
      </c>
      <c r="AI46" s="48"/>
    </row>
    <row r="47" spans="1:35" x14ac:dyDescent="0.3">
      <c r="A47" s="48">
        <f t="shared" si="10"/>
        <v>41</v>
      </c>
      <c r="B47" s="87"/>
      <c r="C47" s="84"/>
      <c r="D47" s="84"/>
      <c r="H47" s="48" t="str">
        <f t="shared" si="1"/>
        <v xml:space="preserve"> </v>
      </c>
      <c r="I47" s="69"/>
      <c r="K47" s="48" t="str">
        <f t="shared" si="2"/>
        <v xml:space="preserve"> </v>
      </c>
      <c r="L47" s="48"/>
      <c r="M47" s="48" t="str">
        <f t="shared" si="13"/>
        <v xml:space="preserve"> </v>
      </c>
      <c r="R47" s="50" t="str">
        <f>IFERROR(VLOOKUP(N47,'Calificación Controles'!$B$7:$AB$36,27,0)," ")</f>
        <v xml:space="preserve"> </v>
      </c>
      <c r="S47" s="50" t="str">
        <f>IFERROR(VLOOKUP(O47,'Calificación Controles'!$B$7:$AB$36,27,0)," ")</f>
        <v xml:space="preserve"> </v>
      </c>
      <c r="T47" s="50" t="str">
        <f>IFERROR(VLOOKUP(P47,'Calificación Controles'!$B$7:$AB$36,27,0), " ")</f>
        <v xml:space="preserve"> </v>
      </c>
      <c r="U47" s="56" t="str">
        <f t="shared" si="11"/>
        <v xml:space="preserve"> </v>
      </c>
      <c r="V47" s="56"/>
      <c r="W47" s="58" t="str">
        <f t="shared" si="3"/>
        <v xml:space="preserve"> </v>
      </c>
      <c r="X47" s="58">
        <f t="shared" si="4"/>
        <v>0</v>
      </c>
      <c r="Y47" s="71" t="str">
        <f t="shared" si="5"/>
        <v xml:space="preserve"> </v>
      </c>
      <c r="Z47" s="72"/>
      <c r="AA47" s="72"/>
      <c r="AB47" s="72" t="str">
        <f t="shared" si="6"/>
        <v xml:space="preserve"> </v>
      </c>
      <c r="AC47" s="73">
        <f t="shared" si="7"/>
        <v>0</v>
      </c>
      <c r="AD47" s="73"/>
      <c r="AE47" s="72" t="str">
        <f t="shared" si="8"/>
        <v xml:space="preserve"> </v>
      </c>
      <c r="AF47" s="72"/>
      <c r="AG47" s="72"/>
      <c r="AH47" s="73">
        <f t="shared" si="12"/>
        <v>0</v>
      </c>
      <c r="AI47" s="48"/>
    </row>
    <row r="48" spans="1:35" x14ac:dyDescent="0.3">
      <c r="A48" s="48">
        <f t="shared" si="10"/>
        <v>42</v>
      </c>
      <c r="B48" s="87"/>
      <c r="C48" s="84"/>
      <c r="D48" s="84"/>
      <c r="H48" s="48" t="str">
        <f t="shared" si="1"/>
        <v xml:space="preserve"> </v>
      </c>
      <c r="I48" s="69"/>
      <c r="K48" s="48" t="str">
        <f t="shared" si="2"/>
        <v xml:space="preserve"> </v>
      </c>
      <c r="L48" s="48"/>
      <c r="M48" s="48" t="str">
        <f t="shared" si="13"/>
        <v xml:space="preserve"> </v>
      </c>
      <c r="R48" s="50" t="str">
        <f>IFERROR(VLOOKUP(N48,'Calificación Controles'!$B$7:$AB$36,27,0)," ")</f>
        <v xml:space="preserve"> </v>
      </c>
      <c r="S48" s="50" t="str">
        <f>IFERROR(VLOOKUP(O48,'Calificación Controles'!$B$7:$AB$36,27,0)," ")</f>
        <v xml:space="preserve"> </v>
      </c>
      <c r="T48" s="50" t="str">
        <f>IFERROR(VLOOKUP(P48,'Calificación Controles'!$B$7:$AB$36,27,0), " ")</f>
        <v xml:space="preserve"> </v>
      </c>
      <c r="U48" s="56" t="str">
        <f t="shared" si="11"/>
        <v xml:space="preserve"> </v>
      </c>
      <c r="V48" s="56"/>
      <c r="W48" s="58" t="str">
        <f t="shared" si="3"/>
        <v xml:space="preserve"> </v>
      </c>
      <c r="X48" s="58">
        <f t="shared" si="4"/>
        <v>0</v>
      </c>
      <c r="Y48" s="71" t="str">
        <f t="shared" si="5"/>
        <v xml:space="preserve"> </v>
      </c>
      <c r="Z48" s="72"/>
      <c r="AA48" s="72"/>
      <c r="AB48" s="72" t="str">
        <f t="shared" si="6"/>
        <v xml:space="preserve"> </v>
      </c>
      <c r="AC48" s="73">
        <f t="shared" si="7"/>
        <v>0</v>
      </c>
      <c r="AD48" s="73"/>
      <c r="AE48" s="72" t="str">
        <f t="shared" si="8"/>
        <v xml:space="preserve"> </v>
      </c>
      <c r="AF48" s="72"/>
      <c r="AG48" s="72"/>
      <c r="AH48" s="73">
        <f t="shared" si="12"/>
        <v>0</v>
      </c>
      <c r="AI48" s="48"/>
    </row>
    <row r="49" spans="1:35" x14ac:dyDescent="0.3">
      <c r="A49" s="48">
        <f t="shared" si="10"/>
        <v>43</v>
      </c>
      <c r="B49" s="87"/>
      <c r="C49" s="84"/>
      <c r="D49" s="84"/>
      <c r="H49" s="48" t="str">
        <f t="shared" si="1"/>
        <v xml:space="preserve"> </v>
      </c>
      <c r="I49" s="69"/>
      <c r="K49" s="48" t="str">
        <f t="shared" si="2"/>
        <v xml:space="preserve"> </v>
      </c>
      <c r="L49" s="48"/>
      <c r="M49" s="48" t="str">
        <f t="shared" si="13"/>
        <v xml:space="preserve"> </v>
      </c>
      <c r="R49" s="50" t="str">
        <f>IFERROR(VLOOKUP(N49,'Calificación Controles'!$B$7:$AB$36,27,0)," ")</f>
        <v xml:space="preserve"> </v>
      </c>
      <c r="S49" s="50" t="str">
        <f>IFERROR(VLOOKUP(O49,'Calificación Controles'!$B$7:$AB$36,27,0)," ")</f>
        <v xml:space="preserve"> </v>
      </c>
      <c r="T49" s="50" t="str">
        <f>IFERROR(VLOOKUP(P49,'Calificación Controles'!$B$7:$AB$36,27,0), " ")</f>
        <v xml:space="preserve"> </v>
      </c>
      <c r="U49" s="56" t="str">
        <f t="shared" si="11"/>
        <v xml:space="preserve"> </v>
      </c>
      <c r="V49" s="56"/>
      <c r="W49" s="58" t="str">
        <f t="shared" si="3"/>
        <v xml:space="preserve"> </v>
      </c>
      <c r="X49" s="58">
        <f t="shared" si="4"/>
        <v>0</v>
      </c>
      <c r="Y49" s="71" t="str">
        <f t="shared" si="5"/>
        <v xml:space="preserve"> </v>
      </c>
      <c r="Z49" s="72"/>
      <c r="AA49" s="72"/>
      <c r="AB49" s="72" t="str">
        <f t="shared" si="6"/>
        <v xml:space="preserve"> </v>
      </c>
      <c r="AC49" s="73">
        <f t="shared" si="7"/>
        <v>0</v>
      </c>
      <c r="AD49" s="73"/>
      <c r="AE49" s="72" t="str">
        <f t="shared" si="8"/>
        <v xml:space="preserve"> </v>
      </c>
      <c r="AF49" s="72"/>
      <c r="AG49" s="72"/>
      <c r="AH49" s="73">
        <f t="shared" si="12"/>
        <v>0</v>
      </c>
      <c r="AI49" s="48"/>
    </row>
    <row r="50" spans="1:35" x14ac:dyDescent="0.3">
      <c r="A50" s="48">
        <f t="shared" si="10"/>
        <v>44</v>
      </c>
      <c r="B50" s="87"/>
      <c r="C50" s="84"/>
      <c r="D50" s="84"/>
      <c r="H50" s="48" t="str">
        <f t="shared" si="1"/>
        <v xml:space="preserve"> </v>
      </c>
      <c r="I50" s="69"/>
      <c r="K50" s="48" t="str">
        <f t="shared" si="2"/>
        <v xml:space="preserve"> </v>
      </c>
      <c r="L50" s="48"/>
      <c r="M50" s="48" t="str">
        <f t="shared" si="13"/>
        <v xml:space="preserve"> </v>
      </c>
      <c r="R50" s="50" t="str">
        <f>IFERROR(VLOOKUP(N50,'Calificación Controles'!$B$7:$AB$36,27,0)," ")</f>
        <v xml:space="preserve"> </v>
      </c>
      <c r="S50" s="50" t="str">
        <f>IFERROR(VLOOKUP(O50,'Calificación Controles'!$B$7:$AB$36,27,0)," ")</f>
        <v xml:space="preserve"> </v>
      </c>
      <c r="T50" s="50" t="str">
        <f>IFERROR(VLOOKUP(P50,'Calificación Controles'!$B$7:$AB$36,27,0), " ")</f>
        <v xml:space="preserve"> </v>
      </c>
      <c r="U50" s="56" t="str">
        <f t="shared" si="11"/>
        <v xml:space="preserve"> </v>
      </c>
      <c r="V50" s="56"/>
      <c r="W50" s="58" t="str">
        <f t="shared" si="3"/>
        <v xml:space="preserve"> </v>
      </c>
      <c r="X50" s="58">
        <f t="shared" si="4"/>
        <v>0</v>
      </c>
      <c r="Y50" s="71" t="str">
        <f t="shared" si="5"/>
        <v xml:space="preserve"> </v>
      </c>
      <c r="Z50" s="72"/>
      <c r="AA50" s="72"/>
      <c r="AB50" s="72" t="str">
        <f t="shared" si="6"/>
        <v xml:space="preserve"> </v>
      </c>
      <c r="AC50" s="73">
        <f t="shared" si="7"/>
        <v>0</v>
      </c>
      <c r="AD50" s="73"/>
      <c r="AE50" s="72" t="str">
        <f t="shared" si="8"/>
        <v xml:space="preserve"> </v>
      </c>
      <c r="AF50" s="72"/>
      <c r="AG50" s="72"/>
      <c r="AH50" s="73">
        <f t="shared" si="12"/>
        <v>0</v>
      </c>
      <c r="AI50" s="48"/>
    </row>
    <row r="51" spans="1:35" x14ac:dyDescent="0.3">
      <c r="A51" s="48">
        <f t="shared" si="10"/>
        <v>45</v>
      </c>
      <c r="B51" s="87"/>
      <c r="C51" s="84"/>
      <c r="D51" s="84"/>
      <c r="H51" s="48" t="str">
        <f t="shared" si="1"/>
        <v xml:space="preserve"> </v>
      </c>
      <c r="I51" s="69"/>
      <c r="K51" s="48" t="str">
        <f t="shared" si="2"/>
        <v xml:space="preserve"> </v>
      </c>
      <c r="L51" s="48"/>
      <c r="M51" s="48" t="str">
        <f t="shared" si="13"/>
        <v xml:space="preserve"> </v>
      </c>
      <c r="R51" s="50" t="str">
        <f>IFERROR(VLOOKUP(N51,'Calificación Controles'!$B$7:$AB$36,27,0)," ")</f>
        <v xml:space="preserve"> </v>
      </c>
      <c r="S51" s="50" t="str">
        <f>IFERROR(VLOOKUP(O51,'Calificación Controles'!$B$7:$AB$36,27,0)," ")</f>
        <v xml:space="preserve"> </v>
      </c>
      <c r="T51" s="50" t="str">
        <f>IFERROR(VLOOKUP(P51,'Calificación Controles'!$B$7:$AB$36,27,0), " ")</f>
        <v xml:space="preserve"> </v>
      </c>
      <c r="U51" s="56" t="str">
        <f t="shared" si="11"/>
        <v xml:space="preserve"> </v>
      </c>
      <c r="V51" s="56"/>
      <c r="W51" s="58" t="str">
        <f t="shared" si="3"/>
        <v xml:space="preserve"> </v>
      </c>
      <c r="X51" s="58">
        <f t="shared" si="4"/>
        <v>0</v>
      </c>
      <c r="Y51" s="71" t="str">
        <f t="shared" si="5"/>
        <v xml:space="preserve"> </v>
      </c>
      <c r="Z51" s="72"/>
      <c r="AA51" s="72"/>
      <c r="AB51" s="72" t="str">
        <f t="shared" si="6"/>
        <v xml:space="preserve"> </v>
      </c>
      <c r="AC51" s="73">
        <f t="shared" si="7"/>
        <v>0</v>
      </c>
      <c r="AD51" s="73"/>
      <c r="AE51" s="72" t="str">
        <f t="shared" si="8"/>
        <v xml:space="preserve"> </v>
      </c>
      <c r="AF51" s="72"/>
      <c r="AG51" s="72"/>
      <c r="AH51" s="73">
        <f t="shared" si="12"/>
        <v>0</v>
      </c>
      <c r="AI51" s="48"/>
    </row>
    <row r="52" spans="1:35" x14ac:dyDescent="0.3">
      <c r="A52" s="48">
        <f t="shared" si="10"/>
        <v>46</v>
      </c>
      <c r="B52" s="87"/>
      <c r="C52" s="84"/>
      <c r="D52" s="84"/>
      <c r="H52" s="48" t="str">
        <f t="shared" si="1"/>
        <v xml:space="preserve"> </v>
      </c>
      <c r="I52" s="69"/>
      <c r="K52" s="48" t="str">
        <f t="shared" si="2"/>
        <v xml:space="preserve"> </v>
      </c>
      <c r="L52" s="48"/>
      <c r="M52" s="48" t="str">
        <f t="shared" si="13"/>
        <v xml:space="preserve"> </v>
      </c>
      <c r="R52" s="50" t="str">
        <f>IFERROR(VLOOKUP(N52,'Calificación Controles'!$B$7:$AB$36,27,0)," ")</f>
        <v xml:space="preserve"> </v>
      </c>
      <c r="S52" s="50" t="str">
        <f>IFERROR(VLOOKUP(O52,'Calificación Controles'!$B$7:$AB$36,27,0)," ")</f>
        <v xml:space="preserve"> </v>
      </c>
      <c r="T52" s="50" t="str">
        <f>IFERROR(VLOOKUP(P52,'Calificación Controles'!$B$7:$AB$36,27,0), " ")</f>
        <v xml:space="preserve"> </v>
      </c>
      <c r="U52" s="56" t="str">
        <f t="shared" si="11"/>
        <v xml:space="preserve"> </v>
      </c>
      <c r="V52" s="56"/>
      <c r="W52" s="58" t="str">
        <f t="shared" si="3"/>
        <v xml:space="preserve"> </v>
      </c>
      <c r="X52" s="58">
        <f t="shared" si="4"/>
        <v>0</v>
      </c>
      <c r="Y52" s="71" t="str">
        <f t="shared" si="5"/>
        <v xml:space="preserve"> </v>
      </c>
      <c r="Z52" s="72"/>
      <c r="AA52" s="72"/>
      <c r="AB52" s="72" t="str">
        <f t="shared" si="6"/>
        <v xml:space="preserve"> </v>
      </c>
      <c r="AC52" s="73">
        <f t="shared" si="7"/>
        <v>0</v>
      </c>
      <c r="AD52" s="73"/>
      <c r="AE52" s="72" t="str">
        <f t="shared" si="8"/>
        <v xml:space="preserve"> </v>
      </c>
      <c r="AF52" s="72"/>
      <c r="AG52" s="72"/>
      <c r="AH52" s="73">
        <f t="shared" si="12"/>
        <v>0</v>
      </c>
      <c r="AI52" s="48"/>
    </row>
  </sheetData>
  <mergeCells count="6">
    <mergeCell ref="A2:C4"/>
    <mergeCell ref="D2:Q2"/>
    <mergeCell ref="R2:AH2"/>
    <mergeCell ref="D3:Q4"/>
    <mergeCell ref="R3:AH3"/>
    <mergeCell ref="R4:AH4"/>
  </mergeCells>
  <conditionalFormatting sqref="G7:G52">
    <cfRule type="containsText" dxfId="55" priority="163" operator="containsText" text="Muy Probable">
      <formula>NOT(ISERROR(SEARCH("Muy Probable",G7)))</formula>
    </cfRule>
    <cfRule type="containsText" dxfId="54" priority="162" operator="containsText" text="Posible">
      <formula>NOT(ISERROR(SEARCH("Posible",G7)))</formula>
    </cfRule>
    <cfRule type="containsText" dxfId="53" priority="161" operator="containsText" text="Poco Probable">
      <formula>NOT(ISERROR(SEARCH("Poco Probable",G7)))</formula>
    </cfRule>
    <cfRule type="containsText" dxfId="52" priority="160" operator="containsText" text="Raro">
      <formula>NOT(ISERROR(SEARCH("Raro",G7)))</formula>
    </cfRule>
    <cfRule type="cellIs" dxfId="51" priority="164" operator="equal">
      <formula>"Casi Seguro"</formula>
    </cfRule>
  </conditionalFormatting>
  <conditionalFormatting sqref="H7:I52">
    <cfRule type="containsText" dxfId="49" priority="110" operator="containsText" text="3">
      <formula>NOT(ISERROR(SEARCH("3",H7)))</formula>
    </cfRule>
    <cfRule type="containsBlanks" priority="106">
      <formula>LEN(TRIM(H7))=0</formula>
    </cfRule>
    <cfRule type="containsText" dxfId="48" priority="108" operator="containsText" text="5">
      <formula>NOT(ISERROR(SEARCH("5",H7)))</formula>
    </cfRule>
    <cfRule type="containsText" dxfId="47" priority="109" operator="containsText" text="4">
      <formula>NOT(ISERROR(SEARCH("4",H7)))</formula>
    </cfRule>
    <cfRule type="containsText" dxfId="46" priority="111" operator="containsText" text="2">
      <formula>NOT(ISERROR(SEARCH("2",H7)))</formula>
    </cfRule>
  </conditionalFormatting>
  <conditionalFormatting sqref="J7:J52">
    <cfRule type="containsText" dxfId="45" priority="151" operator="containsText" text="Medio">
      <formula>NOT(ISERROR(SEARCH("Medio",J7)))</formula>
    </cfRule>
    <cfRule type="containsText" dxfId="44" priority="158" operator="containsText" text="Alto">
      <formula>NOT(ISERROR(SEARCH("Alto",J7)))</formula>
    </cfRule>
    <cfRule type="containsText" dxfId="43" priority="150" operator="containsText" text="Bajo">
      <formula>NOT(ISERROR(SEARCH("Bajo",J7)))</formula>
    </cfRule>
    <cfRule type="containsText" dxfId="42" priority="149" operator="containsText" text="Muy Bajo">
      <formula>NOT(ISERROR(SEARCH("Muy Bajo",J7)))</formula>
    </cfRule>
    <cfRule type="containsText" dxfId="41" priority="137" operator="containsText" text="Muy Alto">
      <formula>NOT(ISERROR(SEARCH("Muy Alto",J7)))</formula>
    </cfRule>
  </conditionalFormatting>
  <conditionalFormatting sqref="K7:L52">
    <cfRule type="containsBlanks" priority="100">
      <formula>LEN(TRIM(K7))=0</formula>
    </cfRule>
    <cfRule type="containsText" dxfId="40" priority="101" operator="containsText" text="1">
      <formula>NOT(ISERROR(SEARCH("1",K7)))</formula>
    </cfRule>
    <cfRule type="containsText" dxfId="39" priority="102" operator="containsText" text="2">
      <formula>NOT(ISERROR(SEARCH("2",K7)))</formula>
    </cfRule>
    <cfRule type="containsText" dxfId="38" priority="103" operator="containsText" text="3">
      <formula>NOT(ISERROR(SEARCH("3",K7)))</formula>
    </cfRule>
    <cfRule type="containsText" dxfId="37" priority="105" operator="containsText" text="5">
      <formula>NOT(ISERROR(SEARCH("5",K7)))</formula>
    </cfRule>
    <cfRule type="containsText" dxfId="36" priority="104" operator="containsText" text="4">
      <formula>NOT(ISERROR(SEARCH("4",K7)))</formula>
    </cfRule>
  </conditionalFormatting>
  <conditionalFormatting sqref="M5">
    <cfRule type="cellIs" dxfId="35" priority="134" operator="between">
      <formula>5</formula>
      <formula>9</formula>
    </cfRule>
    <cfRule type="cellIs" dxfId="34" priority="135" operator="between">
      <formula>10</formula>
      <formula>15</formula>
    </cfRule>
    <cfRule type="cellIs" dxfId="33" priority="136" operator="between">
      <formula>16</formula>
      <formula>25</formula>
    </cfRule>
    <cfRule type="cellIs" dxfId="32" priority="132" operator="between">
      <formula>1</formula>
      <formula>2</formula>
    </cfRule>
    <cfRule type="cellIs" dxfId="31" priority="133" operator="between">
      <formula>3</formula>
      <formula>4</formula>
    </cfRule>
  </conditionalFormatting>
  <conditionalFormatting sqref="M7:M52">
    <cfRule type="cellIs" dxfId="30" priority="95" operator="between">
      <formula>1</formula>
      <formula>2</formula>
    </cfRule>
    <cfRule type="cellIs" dxfId="29" priority="96" operator="between">
      <formula>3</formula>
      <formula>4</formula>
    </cfRule>
    <cfRule type="cellIs" dxfId="28" priority="144" operator="between">
      <formula>3</formula>
      <formula>4</formula>
    </cfRule>
    <cfRule type="cellIs" dxfId="27" priority="143" operator="between">
      <formula>1</formula>
      <formula>2</formula>
    </cfRule>
    <cfRule type="cellIs" dxfId="26" priority="97" operator="between">
      <formula>5</formula>
      <formula>9</formula>
    </cfRule>
    <cfRule type="cellIs" dxfId="25" priority="145" operator="between">
      <formula>5</formula>
      <formula>9</formula>
    </cfRule>
    <cfRule type="cellIs" dxfId="24" priority="99" operator="between">
      <formula>16</formula>
      <formula>25</formula>
    </cfRule>
    <cfRule type="cellIs" dxfId="23" priority="146" operator="between">
      <formula>10</formula>
      <formula>15</formula>
    </cfRule>
    <cfRule type="cellIs" dxfId="22" priority="98" operator="between">
      <formula>10</formula>
      <formula>15</formula>
    </cfRule>
    <cfRule type="cellIs" dxfId="21" priority="147" operator="between">
      <formula>16</formula>
      <formula>25</formula>
    </cfRule>
  </conditionalFormatting>
  <conditionalFormatting sqref="Z7:Z42">
    <cfRule type="containsBlanks" priority="49">
      <formula>LEN(TRIM(Z7))=0</formula>
    </cfRule>
    <cfRule type="containsText" dxfId="19" priority="53" operator="containsText" text="2">
      <formula>NOT(ISERROR(SEARCH("2",Z7)))</formula>
    </cfRule>
    <cfRule type="containsText" dxfId="18" priority="52" operator="containsText" text="3">
      <formula>NOT(ISERROR(SEARCH("3",Z7)))</formula>
    </cfRule>
    <cfRule type="containsText" dxfId="17" priority="51" operator="containsText" text="4">
      <formula>NOT(ISERROR(SEARCH("4",Z7)))</formula>
    </cfRule>
    <cfRule type="containsText" dxfId="16" priority="50" operator="containsText" text="5">
      <formula>NOT(ISERROR(SEARCH("5",Z7)))</formula>
    </cfRule>
  </conditionalFormatting>
  <conditionalFormatting sqref="AF7:AF41">
    <cfRule type="containsText" dxfId="15" priority="8" operator="containsText" text="5">
      <formula>NOT(ISERROR(SEARCH("5",AF7)))</formula>
    </cfRule>
    <cfRule type="containsText" dxfId="14" priority="9" operator="containsText" text="4">
      <formula>NOT(ISERROR(SEARCH("4",AF7)))</formula>
    </cfRule>
    <cfRule type="containsText" dxfId="13" priority="10" operator="containsText" text="3">
      <formula>NOT(ISERROR(SEARCH("3",AF7)))</formula>
    </cfRule>
    <cfRule type="containsText" dxfId="12" priority="11" operator="containsText" text="2">
      <formula>NOT(ISERROR(SEARCH("2",AF7)))</formula>
    </cfRule>
    <cfRule type="containsBlanks" priority="7">
      <formula>LEN(TRIM(AF7))=0</formula>
    </cfRule>
  </conditionalFormatting>
  <conditionalFormatting sqref="AH5">
    <cfRule type="cellIs" dxfId="10" priority="113" operator="between">
      <formula>3</formula>
      <formula>4</formula>
    </cfRule>
  </conditionalFormatting>
  <conditionalFormatting sqref="AH7:AH52">
    <cfRule type="cellIs" dxfId="9" priority="138" operator="between">
      <formula>1</formula>
      <formula>2</formula>
    </cfRule>
    <cfRule type="cellIs" dxfId="8" priority="139" operator="between">
      <formula>3</formula>
      <formula>4</formula>
    </cfRule>
    <cfRule type="cellIs" dxfId="7" priority="141" operator="between">
      <formula>10</formula>
      <formula>15</formula>
    </cfRule>
    <cfRule type="cellIs" dxfId="6" priority="142" operator="between">
      <formula>16</formula>
      <formula>25</formula>
    </cfRule>
    <cfRule type="cellIs" dxfId="5" priority="140" operator="between">
      <formula>5</formula>
      <formula>9</formula>
    </cfRule>
  </conditionalFormatting>
  <dataValidations count="1">
    <dataValidation allowBlank="1" showErrorMessage="1" promptTitle="DISMINUYE" prompt="_x000a_" sqref="R7:T52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5" scale="37" orientation="landscape" r:id="rId1"/>
  <headerFooter>
    <oddFooter xml:space="preserve">&amp;RFABIO ALEJANDRO SANCHEZ FONSECA
Consultor  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12" operator="containsText" id="{9CB9A043-271C-4161-8BC5-2E425F1E2512}">
            <xm:f>NOT(ISERROR(SEARCH(1,H7)))</xm:f>
            <xm:f>1</xm:f>
            <x14:dxf>
              <fill>
                <patternFill>
                  <bgColor rgb="FF00B050"/>
                </patternFill>
              </fill>
            </x14:dxf>
          </x14:cfRule>
          <xm:sqref>H7:I52</xm:sqref>
        </x14:conditionalFormatting>
        <x14:conditionalFormatting xmlns:xm="http://schemas.microsoft.com/office/excel/2006/main">
          <x14:cfRule type="containsText" priority="54" operator="containsText" id="{16B3F5D0-41B2-496B-93F7-B079AED35CAD}">
            <xm:f>NOT(ISERROR(SEARCH(1,Z7)))</xm:f>
            <xm:f>1</xm:f>
            <x14:dxf>
              <fill>
                <patternFill>
                  <bgColor rgb="FF00B050"/>
                </patternFill>
              </fill>
            </x14:dxf>
          </x14:cfRule>
          <xm:sqref>Z7:Z42</xm:sqref>
        </x14:conditionalFormatting>
        <x14:conditionalFormatting xmlns:xm="http://schemas.microsoft.com/office/excel/2006/main">
          <x14:cfRule type="containsText" priority="12" operator="containsText" id="{3DC30948-A8C1-4D6A-B306-03AB9585C25D}">
            <xm:f>NOT(ISERROR(SEARCH(1,AF7)))</xm:f>
            <xm:f>1</xm:f>
            <x14:dxf>
              <fill>
                <patternFill>
                  <bgColor rgb="FF00B050"/>
                </patternFill>
              </fill>
            </x14:dxf>
          </x14:cfRule>
          <xm:sqref>AF7:AF41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errorTitle="No digitar" error="En esta celda no se puede digitar valores" xr:uid="{00000000-0002-0000-0000-000001000000}">
          <x14:formula1>
            <xm:f>Entradas!$D$2:$D$5</xm:f>
          </x14:formula1>
          <xm:sqref>E7:E52</xm:sqref>
        </x14:dataValidation>
        <x14:dataValidation type="list" allowBlank="1" showInputMessage="1" showErrorMessage="1" promptTitle="Probabilidad" xr:uid="{00000000-0002-0000-0000-000002000000}">
          <x14:formula1>
            <xm:f>Entradas!$F$3:$F$7</xm:f>
          </x14:formula1>
          <xm:sqref>G53:G74</xm:sqref>
        </x14:dataValidation>
        <x14:dataValidation type="list" allowBlank="1" showInputMessage="1" showErrorMessage="1" errorTitle="No digitar" error="En esta Celda no se puede digitar" promptTitle="Probabilidad" xr:uid="{00000000-0002-0000-0000-000003000000}">
          <x14:formula1>
            <xm:f>Entradas!$F$2:$F$7</xm:f>
          </x14:formula1>
          <xm:sqref>G7:G52</xm:sqref>
        </x14:dataValidation>
        <x14:dataValidation type="list" allowBlank="1" showInputMessage="1" showErrorMessage="1" promptTitle="Impacto" xr:uid="{00000000-0002-0000-0000-000004000000}">
          <x14:formula1>
            <xm:f>Entradas!$G$3:$G$7</xm:f>
          </x14:formula1>
          <xm:sqref>J53:J77</xm:sqref>
        </x14:dataValidation>
        <x14:dataValidation type="list" allowBlank="1" showInputMessage="1" showErrorMessage="1" promptTitle="Impacto" xr:uid="{00000000-0002-0000-0000-000005000000}">
          <x14:formula1>
            <xm:f>Entradas!$G$2:$G$7</xm:f>
          </x14:formula1>
          <xm:sqref>J7:J52</xm:sqref>
        </x14:dataValidation>
        <x14:dataValidation type="list" allowBlank="1" showErrorMessage="1" errorTitle="No Digitar" error="No se puede digitar en esta celda" promptTitle="DISMINUYE" prompt="_x000a_" xr:uid="{00000000-0002-0000-0000-000006000000}">
          <x14:formula1>
            <xm:f>Entradas!$I$2:$I$5</xm:f>
          </x14:formula1>
          <xm:sqref>Q7:Q52</xm:sqref>
        </x14:dataValidation>
        <x14:dataValidation type="list" allowBlank="1" showInputMessage="1" showErrorMessage="1" errorTitle="No digitar" error="No se puede digitar en este Celda" xr:uid="{00000000-0002-0000-0000-000007000000}">
          <x14:formula1>
            <xm:f>Entradas!$A$2:$A$7</xm:f>
          </x14:formula1>
          <xm:sqref>B7:B52</xm:sqref>
        </x14:dataValidation>
        <x14:dataValidation type="list" allowBlank="1" showInputMessage="1" showErrorMessage="1" xr:uid="{00000000-0002-0000-0000-000008000000}">
          <x14:formula1>
            <xm:f>Entradas!$H$2:$H$27</xm:f>
          </x14:formula1>
          <xm:sqref>N7:N33 N35:N52 O7:P52</xm:sqref>
        </x14:dataValidation>
        <x14:dataValidation type="list" allowBlank="1" showInputMessage="1" showErrorMessage="1" xr:uid="{00000000-0002-0000-0000-000009000000}">
          <x14:formula1>
            <xm:f>Entradas!$C$2:$C$48</xm:f>
          </x14:formula1>
          <xm:sqref>D7:D52</xm:sqref>
        </x14:dataValidation>
        <x14:dataValidation type="list" allowBlank="1" showInputMessage="1" showErrorMessage="1" errorTitle="No Digitar" error="No se puede digitar en esta celda" xr:uid="{00000000-0002-0000-0000-00000A000000}">
          <x14:formula1>
            <xm:f>Entradas!$E$2:$E$8</xm:f>
          </x14:formula1>
          <xm:sqref>F7:F52</xm:sqref>
        </x14:dataValidation>
        <x14:dataValidation type="list" allowBlank="1" showInputMessage="1" showErrorMessage="1" errorTitle="No Digitar" error="En esta celda no se puede digitar algun valor" xr:uid="{00000000-0002-0000-0000-00000B000000}">
          <x14:formula1>
            <xm:f>Entradas!$B$2:$B$31</xm:f>
          </x14:formula1>
          <xm:sqref>C7:C52</xm:sqref>
        </x14:dataValidation>
        <x14:dataValidation type="list" allowBlank="1" showInputMessage="1" showErrorMessage="1" xr:uid="{00000000-0002-0000-0000-00000C000000}">
          <x14:formula1>
            <xm:f>Entradas!$H$2:$H$26</xm:f>
          </x14:formula1>
          <xm:sqref>N34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36"/>
  <sheetViews>
    <sheetView workbookViewId="0">
      <pane xSplit="4" ySplit="6" topLeftCell="R7" activePane="bottomRight" state="frozen"/>
      <selection pane="topRight" activeCell="E1" sqref="E1"/>
      <selection pane="bottomLeft" activeCell="A7" sqref="A7"/>
      <selection pane="bottomRight" activeCell="R2" sqref="R2:AH2"/>
    </sheetView>
  </sheetViews>
  <sheetFormatPr baseColWidth="10" defaultRowHeight="14.4" x14ac:dyDescent="0.3"/>
  <cols>
    <col min="1" max="1" width="7.21875" customWidth="1"/>
    <col min="2" max="2" width="17.44140625" customWidth="1"/>
    <col min="3" max="3" width="57.5546875" customWidth="1"/>
    <col min="4" max="4" width="8.77734375" hidden="1" customWidth="1"/>
    <col min="5" max="5" width="12.21875" bestFit="1" customWidth="1"/>
    <col min="6" max="6" width="10.77734375" bestFit="1" customWidth="1"/>
    <col min="7" max="7" width="12.21875" bestFit="1" customWidth="1"/>
    <col min="8" max="8" width="5.5546875" bestFit="1" customWidth="1"/>
    <col min="9" max="9" width="13.44140625" customWidth="1"/>
    <col min="10" max="11" width="9.21875" customWidth="1"/>
    <col min="12" max="12" width="5.5546875" customWidth="1"/>
    <col min="13" max="13" width="8.5546875" customWidth="1"/>
    <col min="14" max="14" width="10.5546875" customWidth="1"/>
    <col min="15" max="15" width="5.5546875" customWidth="1"/>
    <col min="16" max="16" width="15.5546875" customWidth="1"/>
    <col min="17" max="17" width="19" customWidth="1"/>
    <col min="18" max="18" width="5.5546875" customWidth="1"/>
    <col min="19" max="19" width="7.21875" customWidth="1"/>
    <col min="20" max="20" width="9.77734375" customWidth="1"/>
    <col min="21" max="21" width="7.21875" customWidth="1"/>
    <col min="22" max="22" width="12.44140625" customWidth="1"/>
    <col min="23" max="23" width="5.5546875" customWidth="1"/>
    <col min="24" max="24" width="15.77734375" customWidth="1"/>
    <col min="25" max="25" width="15.21875" customWidth="1"/>
    <col min="26" max="26" width="10" customWidth="1"/>
    <col min="27" max="27" width="5.5546875" bestFit="1" customWidth="1"/>
    <col min="28" max="28" width="8.77734375" bestFit="1" customWidth="1"/>
    <col min="29" max="29" width="11.44140625" customWidth="1"/>
    <col min="30" max="30" width="13.5546875" bestFit="1" customWidth="1"/>
  </cols>
  <sheetData>
    <row r="1" spans="1:36" s="103" customFormat="1" ht="30" customHeight="1" x14ac:dyDescent="0.25">
      <c r="A1" s="117" t="e" vm="1">
        <v>#VALUE!</v>
      </c>
      <c r="B1" s="117"/>
      <c r="C1" s="117"/>
      <c r="D1" s="118" t="s">
        <v>246</v>
      </c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9" t="s">
        <v>250</v>
      </c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</row>
    <row r="2" spans="1:36" s="103" customFormat="1" ht="30" customHeight="1" x14ac:dyDescent="0.25">
      <c r="A2" s="117"/>
      <c r="B2" s="117"/>
      <c r="C2" s="117"/>
      <c r="D2" s="120" t="s">
        <v>249</v>
      </c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19" t="s">
        <v>247</v>
      </c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</row>
    <row r="3" spans="1:36" s="103" customFormat="1" ht="30" customHeight="1" x14ac:dyDescent="0.25">
      <c r="A3" s="117"/>
      <c r="B3" s="117"/>
      <c r="C3" s="117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1" t="s">
        <v>248</v>
      </c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03">
        <f>SUMIF(AH4:AH49,"&gt;0")</f>
        <v>0</v>
      </c>
      <c r="AJ3" s="103">
        <f>COUNTIF(AH4:AH49,"&gt;0")</f>
        <v>0</v>
      </c>
    </row>
    <row r="4" spans="1:36" x14ac:dyDescent="0.3">
      <c r="A4" s="15"/>
      <c r="B4" s="23" t="s">
        <v>80</v>
      </c>
    </row>
    <row r="5" spans="1:36" x14ac:dyDescent="0.3">
      <c r="A5" s="122" t="s">
        <v>42</v>
      </c>
      <c r="B5" s="122"/>
      <c r="C5" s="122"/>
      <c r="D5" s="17"/>
      <c r="E5" s="126" t="s">
        <v>43</v>
      </c>
      <c r="F5" s="126"/>
      <c r="G5" s="126"/>
      <c r="H5" s="127"/>
      <c r="I5" s="125" t="s">
        <v>47</v>
      </c>
      <c r="J5" s="126"/>
      <c r="K5" s="126"/>
      <c r="L5" s="127"/>
      <c r="M5" s="125" t="s">
        <v>53</v>
      </c>
      <c r="N5" s="126"/>
      <c r="O5" s="127"/>
      <c r="P5" s="125" t="s">
        <v>54</v>
      </c>
      <c r="Q5" s="126"/>
      <c r="R5" s="127"/>
      <c r="S5" s="125" t="s">
        <v>57</v>
      </c>
      <c r="T5" s="126"/>
      <c r="U5" s="126"/>
      <c r="V5" s="126"/>
      <c r="W5" s="127"/>
      <c r="X5" s="122" t="s">
        <v>62</v>
      </c>
      <c r="Y5" s="122"/>
      <c r="Z5" s="122"/>
      <c r="AA5" s="125"/>
      <c r="AB5" s="123" t="s">
        <v>68</v>
      </c>
      <c r="AC5" s="124"/>
      <c r="AD5" s="124"/>
    </row>
    <row r="6" spans="1:36" x14ac:dyDescent="0.3">
      <c r="A6" s="16" t="s">
        <v>81</v>
      </c>
      <c r="B6" s="25"/>
      <c r="C6" s="26" t="s">
        <v>82</v>
      </c>
      <c r="D6" s="27"/>
      <c r="E6" s="28" t="s">
        <v>44</v>
      </c>
      <c r="F6" s="29" t="s">
        <v>45</v>
      </c>
      <c r="G6" s="30" t="s">
        <v>46</v>
      </c>
      <c r="H6" s="31" t="s">
        <v>66</v>
      </c>
      <c r="I6" s="32" t="s">
        <v>48</v>
      </c>
      <c r="J6" s="29" t="s">
        <v>50</v>
      </c>
      <c r="K6" s="30" t="s">
        <v>49</v>
      </c>
      <c r="L6" s="31" t="s">
        <v>66</v>
      </c>
      <c r="M6" s="32" t="s">
        <v>51</v>
      </c>
      <c r="N6" s="29" t="s">
        <v>52</v>
      </c>
      <c r="O6" s="31" t="s">
        <v>66</v>
      </c>
      <c r="P6" s="32" t="s">
        <v>55</v>
      </c>
      <c r="Q6" s="30" t="s">
        <v>56</v>
      </c>
      <c r="R6" s="31" t="s">
        <v>66</v>
      </c>
      <c r="S6" s="32" t="s">
        <v>58</v>
      </c>
      <c r="T6" s="29" t="s">
        <v>59</v>
      </c>
      <c r="U6" s="33" t="s">
        <v>60</v>
      </c>
      <c r="V6" s="30" t="s">
        <v>61</v>
      </c>
      <c r="W6" s="31" t="s">
        <v>66</v>
      </c>
      <c r="X6" s="32" t="s">
        <v>63</v>
      </c>
      <c r="Y6" s="29" t="s">
        <v>64</v>
      </c>
      <c r="Z6" s="30" t="s">
        <v>65</v>
      </c>
      <c r="AA6" s="31" t="s">
        <v>66</v>
      </c>
      <c r="AB6" s="34" t="s">
        <v>69</v>
      </c>
      <c r="AC6" s="34" t="s">
        <v>69</v>
      </c>
      <c r="AD6" s="34" t="s">
        <v>85</v>
      </c>
    </row>
    <row r="7" spans="1:36" ht="43.2" x14ac:dyDescent="0.3">
      <c r="A7" s="24">
        <v>1</v>
      </c>
      <c r="B7" s="86" t="s">
        <v>238</v>
      </c>
      <c r="C7" s="85" t="s">
        <v>116</v>
      </c>
      <c r="D7" s="35">
        <f>+A7</f>
        <v>1</v>
      </c>
      <c r="E7" s="36" t="s">
        <v>74</v>
      </c>
      <c r="F7" s="26"/>
      <c r="G7" s="26"/>
      <c r="H7" s="37">
        <f>IF(E7="X",15,IF(F7="X",7.5,IF(G7="X",1.5,0)))</f>
        <v>15</v>
      </c>
      <c r="I7" s="26"/>
      <c r="J7" s="26" t="s">
        <v>74</v>
      </c>
      <c r="K7" s="26"/>
      <c r="L7" s="37">
        <f>IF(I7="X",15,IF(J7="X",7.5,IF(K7="X",1.5,0)))</f>
        <v>7.5</v>
      </c>
      <c r="M7" s="26" t="s">
        <v>67</v>
      </c>
      <c r="N7" s="26"/>
      <c r="O7" s="37">
        <f>IF(M7="X",15,IF(N7="X",7.5,0))</f>
        <v>15</v>
      </c>
      <c r="P7" s="26" t="s">
        <v>74</v>
      </c>
      <c r="Q7" s="26"/>
      <c r="R7" s="37">
        <f>IF(P7="X",15,IF(Q7="X",1.5,0))</f>
        <v>15</v>
      </c>
      <c r="S7" s="26"/>
      <c r="T7" s="26" t="s">
        <v>67</v>
      </c>
      <c r="U7" s="26"/>
      <c r="V7" s="26"/>
      <c r="W7" s="37">
        <f>IF(S7="X",15,IF(T7="X",10,IF(U7="X",7.5,IF(V7="X",1.5,0))))</f>
        <v>10</v>
      </c>
      <c r="X7" s="26"/>
      <c r="Y7" s="26" t="s">
        <v>67</v>
      </c>
      <c r="Z7" s="26"/>
      <c r="AA7" s="37">
        <f>IF(X7="X",15,IF(Y7="X",7.5,IF(Z7="X",1.5,0)))</f>
        <v>7.5</v>
      </c>
      <c r="AB7" s="41">
        <f>+H7+L7+O7+R7+W7+AA7</f>
        <v>70</v>
      </c>
      <c r="AC7" s="42">
        <f>ROUND(AB7,0)</f>
        <v>70</v>
      </c>
      <c r="AD7" t="str">
        <f t="shared" ref="AD7:AD36" si="0">IF(AC7&gt;80,"FUERTE",IF(AC7&gt;60,"MODERADO",IF(AC7&gt;50,"ACEPTABLE",IF(AC7&gt;30,"DEBIL",IF(AC7&lt;29,"INEXISTENTE",0)))))</f>
        <v>MODERADO</v>
      </c>
    </row>
    <row r="8" spans="1:36" ht="28.8" x14ac:dyDescent="0.3">
      <c r="A8" s="12">
        <v>2</v>
      </c>
      <c r="B8" s="35" t="s">
        <v>134</v>
      </c>
      <c r="C8" s="85" t="s">
        <v>117</v>
      </c>
      <c r="D8" s="35">
        <f t="shared" ref="D8:D36" si="1">+A8</f>
        <v>2</v>
      </c>
      <c r="E8" s="36" t="s">
        <v>67</v>
      </c>
      <c r="F8" s="26"/>
      <c r="G8" s="26"/>
      <c r="H8" s="37">
        <f t="shared" ref="H8:H36" si="2">IF(E8="X",15,IF(F8="X",7.5,IF(G8="X",1.5,0)))</f>
        <v>15</v>
      </c>
      <c r="I8" s="26"/>
      <c r="J8" s="26"/>
      <c r="K8" s="26" t="s">
        <v>67</v>
      </c>
      <c r="L8" s="37">
        <f t="shared" ref="L8:L36" si="3">IF(I8="X",15,IF(J8="X",7.5,IF(K8="X",1.5,0)))</f>
        <v>1.5</v>
      </c>
      <c r="M8" s="26" t="s">
        <v>67</v>
      </c>
      <c r="N8" s="26"/>
      <c r="O8" s="37">
        <f t="shared" ref="O8:O36" si="4">IF(M8="X",15,IF(N8="X",7.5,0))</f>
        <v>15</v>
      </c>
      <c r="P8" s="26" t="s">
        <v>67</v>
      </c>
      <c r="Q8" s="26"/>
      <c r="R8" s="37">
        <f t="shared" ref="R8:R36" si="5">IF(P8="X",15,IF(Q8="X",1.5,0))</f>
        <v>15</v>
      </c>
      <c r="S8" s="26"/>
      <c r="T8" s="26" t="s">
        <v>67</v>
      </c>
      <c r="U8" s="26"/>
      <c r="V8" s="26"/>
      <c r="W8" s="37">
        <f t="shared" ref="W8:W36" si="6">IF(S8="X",15,IF(T8="X",10,IF(U8="X",7.5,IF(V8="X",1.5,0))))</f>
        <v>10</v>
      </c>
      <c r="X8" s="26" t="s">
        <v>67</v>
      </c>
      <c r="Y8" s="26"/>
      <c r="Z8" s="26"/>
      <c r="AA8" s="37">
        <f t="shared" ref="AA8:AA36" si="7">IF(X8="X",15,IF(Y8="X",7.5,IF(Z8="X",1.5,0)))</f>
        <v>15</v>
      </c>
      <c r="AB8" s="41">
        <f t="shared" ref="AB8:AB36" si="8">+H8+L8+O8+R8+W8+AA8</f>
        <v>71.5</v>
      </c>
      <c r="AC8" s="42">
        <f t="shared" ref="AC8:AC36" si="9">ROUND(AB8,0)</f>
        <v>72</v>
      </c>
      <c r="AD8" t="str">
        <f t="shared" si="0"/>
        <v>MODERADO</v>
      </c>
    </row>
    <row r="9" spans="1:36" ht="22.8" x14ac:dyDescent="0.3">
      <c r="A9" s="12">
        <v>3</v>
      </c>
      <c r="B9" s="35" t="s">
        <v>135</v>
      </c>
      <c r="C9" s="85" t="s">
        <v>211</v>
      </c>
      <c r="D9" s="35">
        <f t="shared" si="1"/>
        <v>3</v>
      </c>
      <c r="E9" s="36"/>
      <c r="F9" s="26"/>
      <c r="G9" s="26" t="s">
        <v>67</v>
      </c>
      <c r="H9" s="37">
        <f t="shared" si="2"/>
        <v>1.5</v>
      </c>
      <c r="I9" s="26"/>
      <c r="J9" s="39"/>
      <c r="K9" s="26" t="s">
        <v>67</v>
      </c>
      <c r="L9" s="37">
        <f t="shared" si="3"/>
        <v>1.5</v>
      </c>
      <c r="M9" s="26" t="s">
        <v>67</v>
      </c>
      <c r="N9" s="26"/>
      <c r="O9" s="37">
        <f t="shared" si="4"/>
        <v>15</v>
      </c>
      <c r="P9" s="26" t="s">
        <v>67</v>
      </c>
      <c r="Q9" s="26"/>
      <c r="R9" s="37">
        <f t="shared" si="5"/>
        <v>15</v>
      </c>
      <c r="S9" s="26"/>
      <c r="T9" s="26"/>
      <c r="U9" s="26"/>
      <c r="V9" s="26" t="s">
        <v>67</v>
      </c>
      <c r="W9" s="37">
        <f t="shared" si="6"/>
        <v>1.5</v>
      </c>
      <c r="X9" s="26" t="s">
        <v>67</v>
      </c>
      <c r="Y9" s="26"/>
      <c r="Z9" s="26"/>
      <c r="AA9" s="37">
        <f t="shared" si="7"/>
        <v>15</v>
      </c>
      <c r="AB9" s="41">
        <f t="shared" si="8"/>
        <v>49.5</v>
      </c>
      <c r="AC9" s="42">
        <f t="shared" si="9"/>
        <v>50</v>
      </c>
      <c r="AD9" t="str">
        <f t="shared" si="0"/>
        <v>DEBIL</v>
      </c>
    </row>
    <row r="10" spans="1:36" ht="28.8" x14ac:dyDescent="0.3">
      <c r="A10" s="12">
        <v>4</v>
      </c>
      <c r="B10" s="35" t="s">
        <v>136</v>
      </c>
      <c r="C10" s="85" t="s">
        <v>212</v>
      </c>
      <c r="D10" s="35">
        <f t="shared" si="1"/>
        <v>4</v>
      </c>
      <c r="E10" s="36"/>
      <c r="F10" s="26" t="s">
        <v>67</v>
      </c>
      <c r="G10" s="26"/>
      <c r="H10" s="37">
        <f t="shared" si="2"/>
        <v>7.5</v>
      </c>
      <c r="I10" s="26"/>
      <c r="J10" s="26" t="s">
        <v>67</v>
      </c>
      <c r="K10" s="26"/>
      <c r="L10" s="37">
        <f t="shared" si="3"/>
        <v>7.5</v>
      </c>
      <c r="M10" s="26" t="s">
        <v>67</v>
      </c>
      <c r="N10" s="26"/>
      <c r="O10" s="37">
        <f t="shared" si="4"/>
        <v>15</v>
      </c>
      <c r="P10" s="26" t="s">
        <v>67</v>
      </c>
      <c r="Q10" s="26"/>
      <c r="R10" s="37">
        <f t="shared" si="5"/>
        <v>15</v>
      </c>
      <c r="S10" s="26"/>
      <c r="T10" s="26" t="s">
        <v>67</v>
      </c>
      <c r="U10" s="26"/>
      <c r="V10" s="26"/>
      <c r="W10" s="37">
        <f t="shared" si="6"/>
        <v>10</v>
      </c>
      <c r="X10" s="26" t="s">
        <v>67</v>
      </c>
      <c r="Y10" s="26"/>
      <c r="Z10" s="26"/>
      <c r="AA10" s="37">
        <f t="shared" si="7"/>
        <v>15</v>
      </c>
      <c r="AB10" s="41">
        <f t="shared" si="8"/>
        <v>70</v>
      </c>
      <c r="AC10" s="42">
        <f t="shared" si="9"/>
        <v>70</v>
      </c>
      <c r="AD10" t="str">
        <f t="shared" si="0"/>
        <v>MODERADO</v>
      </c>
    </row>
    <row r="11" spans="1:36" ht="28.8" x14ac:dyDescent="0.3">
      <c r="A11" s="12">
        <v>5</v>
      </c>
      <c r="B11" s="35" t="s">
        <v>137</v>
      </c>
      <c r="C11" s="85" t="s">
        <v>118</v>
      </c>
      <c r="D11" s="35">
        <f t="shared" si="1"/>
        <v>5</v>
      </c>
      <c r="E11" s="36"/>
      <c r="F11" s="26"/>
      <c r="G11" s="26" t="s">
        <v>67</v>
      </c>
      <c r="H11" s="37">
        <f t="shared" si="2"/>
        <v>1.5</v>
      </c>
      <c r="I11" s="26"/>
      <c r="J11" s="26"/>
      <c r="K11" s="26" t="s">
        <v>67</v>
      </c>
      <c r="L11" s="37">
        <f t="shared" si="3"/>
        <v>1.5</v>
      </c>
      <c r="M11" s="26"/>
      <c r="N11" s="26" t="s">
        <v>67</v>
      </c>
      <c r="O11" s="37">
        <f t="shared" si="4"/>
        <v>7.5</v>
      </c>
      <c r="P11" s="26"/>
      <c r="Q11" s="26" t="s">
        <v>67</v>
      </c>
      <c r="R11" s="37">
        <f t="shared" si="5"/>
        <v>1.5</v>
      </c>
      <c r="S11" s="26"/>
      <c r="T11" s="26"/>
      <c r="U11" s="26"/>
      <c r="V11" s="26" t="s">
        <v>67</v>
      </c>
      <c r="W11" s="37">
        <f t="shared" si="6"/>
        <v>1.5</v>
      </c>
      <c r="X11" s="26"/>
      <c r="Y11" s="26" t="s">
        <v>67</v>
      </c>
      <c r="Z11" s="26"/>
      <c r="AA11" s="37">
        <f t="shared" si="7"/>
        <v>7.5</v>
      </c>
      <c r="AB11" s="41">
        <f t="shared" si="8"/>
        <v>21</v>
      </c>
      <c r="AC11" s="42">
        <f t="shared" si="9"/>
        <v>21</v>
      </c>
      <c r="AD11" t="str">
        <f t="shared" si="0"/>
        <v>INEXISTENTE</v>
      </c>
    </row>
    <row r="12" spans="1:36" ht="34.200000000000003" x14ac:dyDescent="0.3">
      <c r="A12" s="12">
        <v>6</v>
      </c>
      <c r="B12" s="35" t="s">
        <v>138</v>
      </c>
      <c r="C12" s="85" t="s">
        <v>119</v>
      </c>
      <c r="D12" s="35">
        <f t="shared" si="1"/>
        <v>6</v>
      </c>
      <c r="E12" s="36" t="s">
        <v>67</v>
      </c>
      <c r="F12" s="26"/>
      <c r="G12" s="26"/>
      <c r="H12" s="37">
        <f t="shared" si="2"/>
        <v>15</v>
      </c>
      <c r="I12" s="26"/>
      <c r="J12" s="26"/>
      <c r="K12" s="26" t="s">
        <v>67</v>
      </c>
      <c r="L12" s="37">
        <f t="shared" si="3"/>
        <v>1.5</v>
      </c>
      <c r="M12" s="26" t="s">
        <v>67</v>
      </c>
      <c r="N12" s="26"/>
      <c r="O12" s="37">
        <f t="shared" si="4"/>
        <v>15</v>
      </c>
      <c r="P12" s="26" t="s">
        <v>67</v>
      </c>
      <c r="Q12" s="26"/>
      <c r="R12" s="37">
        <f t="shared" si="5"/>
        <v>15</v>
      </c>
      <c r="S12" s="26" t="s">
        <v>67</v>
      </c>
      <c r="T12" s="26"/>
      <c r="U12" s="26"/>
      <c r="V12" s="26"/>
      <c r="W12" s="37">
        <f t="shared" si="6"/>
        <v>15</v>
      </c>
      <c r="X12" s="26"/>
      <c r="Y12" s="26" t="s">
        <v>67</v>
      </c>
      <c r="Z12" s="26"/>
      <c r="AA12" s="37">
        <f t="shared" si="7"/>
        <v>7.5</v>
      </c>
      <c r="AB12" s="41">
        <f t="shared" si="8"/>
        <v>69</v>
      </c>
      <c r="AC12" s="42">
        <f t="shared" si="9"/>
        <v>69</v>
      </c>
      <c r="AD12" t="str">
        <f t="shared" si="0"/>
        <v>MODERADO</v>
      </c>
    </row>
    <row r="13" spans="1:36" ht="22.8" x14ac:dyDescent="0.3">
      <c r="A13" s="12">
        <v>7</v>
      </c>
      <c r="B13" s="35" t="s">
        <v>139</v>
      </c>
      <c r="C13" s="85" t="s">
        <v>120</v>
      </c>
      <c r="D13" s="35">
        <f t="shared" si="1"/>
        <v>7</v>
      </c>
      <c r="E13" s="36" t="s">
        <v>67</v>
      </c>
      <c r="F13" s="26"/>
      <c r="G13" s="26"/>
      <c r="H13" s="37">
        <f t="shared" si="2"/>
        <v>15</v>
      </c>
      <c r="I13" s="26"/>
      <c r="J13" s="26"/>
      <c r="K13" s="26" t="s">
        <v>67</v>
      </c>
      <c r="L13" s="37">
        <f t="shared" si="3"/>
        <v>1.5</v>
      </c>
      <c r="M13" s="26" t="s">
        <v>67</v>
      </c>
      <c r="N13" s="26"/>
      <c r="O13" s="37">
        <f t="shared" si="4"/>
        <v>15</v>
      </c>
      <c r="P13" s="26" t="s">
        <v>67</v>
      </c>
      <c r="Q13" s="26"/>
      <c r="R13" s="37">
        <f t="shared" si="5"/>
        <v>15</v>
      </c>
      <c r="S13" s="26"/>
      <c r="T13" s="26" t="s">
        <v>67</v>
      </c>
      <c r="U13" s="26"/>
      <c r="V13" s="26"/>
      <c r="W13" s="37">
        <f t="shared" si="6"/>
        <v>10</v>
      </c>
      <c r="X13" s="26"/>
      <c r="Y13" s="26" t="s">
        <v>67</v>
      </c>
      <c r="Z13" s="26"/>
      <c r="AA13" s="37">
        <f t="shared" si="7"/>
        <v>7.5</v>
      </c>
      <c r="AB13" s="41">
        <f t="shared" si="8"/>
        <v>64</v>
      </c>
      <c r="AC13" s="42">
        <f t="shared" si="9"/>
        <v>64</v>
      </c>
      <c r="AD13" t="str">
        <f>IF(AC13&gt;80,"FUERTE",IF(AC13&gt;60,"MODERADO",IF(AC13&gt;50,"ACEPTABLE",IF(AC13&gt;30,"DEBIL",IF(AC13&lt;29,"INEXISTENTE",0)))))</f>
        <v>MODERADO</v>
      </c>
    </row>
    <row r="14" spans="1:36" ht="22.8" x14ac:dyDescent="0.3">
      <c r="A14" s="12">
        <v>8</v>
      </c>
      <c r="B14" s="35" t="s">
        <v>140</v>
      </c>
      <c r="C14" s="85" t="s">
        <v>121</v>
      </c>
      <c r="D14" s="35">
        <f t="shared" si="1"/>
        <v>8</v>
      </c>
      <c r="E14" s="36" t="s">
        <v>67</v>
      </c>
      <c r="F14" s="26"/>
      <c r="G14" s="26"/>
      <c r="H14" s="37">
        <f t="shared" si="2"/>
        <v>15</v>
      </c>
      <c r="I14" s="26"/>
      <c r="J14" s="26"/>
      <c r="K14" s="26" t="s">
        <v>67</v>
      </c>
      <c r="L14" s="37">
        <f t="shared" si="3"/>
        <v>1.5</v>
      </c>
      <c r="M14" s="26" t="s">
        <v>67</v>
      </c>
      <c r="N14" s="26"/>
      <c r="O14" s="37">
        <f t="shared" si="4"/>
        <v>15</v>
      </c>
      <c r="P14" s="26" t="s">
        <v>67</v>
      </c>
      <c r="Q14" s="26"/>
      <c r="R14" s="37">
        <f t="shared" si="5"/>
        <v>15</v>
      </c>
      <c r="S14" s="26"/>
      <c r="T14" s="26" t="s">
        <v>67</v>
      </c>
      <c r="U14" s="26"/>
      <c r="V14" s="26"/>
      <c r="W14" s="37">
        <f t="shared" si="6"/>
        <v>10</v>
      </c>
      <c r="X14" s="26" t="s">
        <v>67</v>
      </c>
      <c r="Y14" s="26"/>
      <c r="Z14" s="26"/>
      <c r="AA14" s="37">
        <f t="shared" si="7"/>
        <v>15</v>
      </c>
      <c r="AB14" s="41">
        <f t="shared" si="8"/>
        <v>71.5</v>
      </c>
      <c r="AC14" s="42">
        <f t="shared" si="9"/>
        <v>72</v>
      </c>
      <c r="AD14" t="str">
        <f t="shared" si="0"/>
        <v>MODERADO</v>
      </c>
    </row>
    <row r="15" spans="1:36" ht="28.8" x14ac:dyDescent="0.3">
      <c r="A15" s="12">
        <v>9</v>
      </c>
      <c r="B15" s="35" t="s">
        <v>141</v>
      </c>
      <c r="C15" s="85" t="s">
        <v>122</v>
      </c>
      <c r="D15" s="35">
        <f t="shared" si="1"/>
        <v>9</v>
      </c>
      <c r="E15" s="36"/>
      <c r="F15" s="26"/>
      <c r="G15" s="26" t="s">
        <v>67</v>
      </c>
      <c r="H15" s="37">
        <f t="shared" si="2"/>
        <v>1.5</v>
      </c>
      <c r="I15" s="26"/>
      <c r="J15" s="26"/>
      <c r="K15" s="26" t="s">
        <v>67</v>
      </c>
      <c r="L15" s="37">
        <f t="shared" si="3"/>
        <v>1.5</v>
      </c>
      <c r="M15" s="26" t="s">
        <v>67</v>
      </c>
      <c r="N15" s="26"/>
      <c r="O15" s="37">
        <f t="shared" si="4"/>
        <v>15</v>
      </c>
      <c r="P15" s="26" t="s">
        <v>67</v>
      </c>
      <c r="Q15" s="26"/>
      <c r="R15" s="37">
        <f t="shared" si="5"/>
        <v>15</v>
      </c>
      <c r="S15" s="26"/>
      <c r="T15" s="26"/>
      <c r="U15" s="26"/>
      <c r="V15" s="26" t="s">
        <v>67</v>
      </c>
      <c r="W15" s="37">
        <f t="shared" si="6"/>
        <v>1.5</v>
      </c>
      <c r="X15" s="26" t="s">
        <v>67</v>
      </c>
      <c r="Y15" s="26"/>
      <c r="Z15" s="26"/>
      <c r="AA15" s="37">
        <f t="shared" si="7"/>
        <v>15</v>
      </c>
      <c r="AB15" s="41">
        <f t="shared" si="8"/>
        <v>49.5</v>
      </c>
      <c r="AC15" s="42">
        <f t="shared" si="9"/>
        <v>50</v>
      </c>
      <c r="AD15" t="str">
        <f t="shared" si="0"/>
        <v>DEBIL</v>
      </c>
    </row>
    <row r="16" spans="1:36" ht="28.8" x14ac:dyDescent="0.3">
      <c r="A16" s="12">
        <v>10</v>
      </c>
      <c r="B16" s="35" t="s">
        <v>142</v>
      </c>
      <c r="C16" s="85" t="s">
        <v>123</v>
      </c>
      <c r="D16" s="35">
        <f t="shared" si="1"/>
        <v>10</v>
      </c>
      <c r="E16" s="36" t="s">
        <v>67</v>
      </c>
      <c r="F16" s="26"/>
      <c r="G16" s="26"/>
      <c r="H16" s="37">
        <f t="shared" si="2"/>
        <v>15</v>
      </c>
      <c r="I16" s="26"/>
      <c r="J16" s="26"/>
      <c r="K16" s="26" t="s">
        <v>67</v>
      </c>
      <c r="L16" s="37">
        <f t="shared" si="3"/>
        <v>1.5</v>
      </c>
      <c r="M16" s="26" t="s">
        <v>67</v>
      </c>
      <c r="N16" s="26"/>
      <c r="O16" s="37">
        <f t="shared" si="4"/>
        <v>15</v>
      </c>
      <c r="P16" s="26" t="s">
        <v>67</v>
      </c>
      <c r="Q16" s="26"/>
      <c r="R16" s="37">
        <f t="shared" si="5"/>
        <v>15</v>
      </c>
      <c r="S16" s="26"/>
      <c r="T16" s="26" t="s">
        <v>67</v>
      </c>
      <c r="U16" s="26"/>
      <c r="V16" s="26"/>
      <c r="W16" s="37">
        <f t="shared" si="6"/>
        <v>10</v>
      </c>
      <c r="X16" s="26"/>
      <c r="Y16" s="26" t="s">
        <v>67</v>
      </c>
      <c r="Z16" s="26"/>
      <c r="AA16" s="37">
        <f t="shared" si="7"/>
        <v>7.5</v>
      </c>
      <c r="AB16" s="41">
        <f t="shared" si="8"/>
        <v>64</v>
      </c>
      <c r="AC16" s="42">
        <f t="shared" si="9"/>
        <v>64</v>
      </c>
      <c r="AD16" t="str">
        <f t="shared" si="0"/>
        <v>MODERADO</v>
      </c>
    </row>
    <row r="17" spans="1:30" ht="28.8" x14ac:dyDescent="0.3">
      <c r="A17" s="12">
        <v>11</v>
      </c>
      <c r="B17" s="35" t="s">
        <v>143</v>
      </c>
      <c r="C17" s="85" t="s">
        <v>124</v>
      </c>
      <c r="D17" s="35">
        <f t="shared" si="1"/>
        <v>11</v>
      </c>
      <c r="E17" s="36"/>
      <c r="F17" s="26" t="s">
        <v>67</v>
      </c>
      <c r="G17" s="26"/>
      <c r="H17" s="37">
        <f t="shared" si="2"/>
        <v>7.5</v>
      </c>
      <c r="I17" s="26"/>
      <c r="J17" s="26"/>
      <c r="K17" s="26" t="s">
        <v>67</v>
      </c>
      <c r="L17" s="37">
        <f t="shared" si="3"/>
        <v>1.5</v>
      </c>
      <c r="M17" s="26" t="s">
        <v>67</v>
      </c>
      <c r="N17" s="26"/>
      <c r="O17" s="37">
        <f t="shared" si="4"/>
        <v>15</v>
      </c>
      <c r="P17" s="26" t="s">
        <v>67</v>
      </c>
      <c r="Q17" s="26"/>
      <c r="R17" s="37">
        <f t="shared" si="5"/>
        <v>15</v>
      </c>
      <c r="S17" s="26"/>
      <c r="T17" s="26" t="s">
        <v>67</v>
      </c>
      <c r="U17" s="26"/>
      <c r="V17" s="26"/>
      <c r="W17" s="37">
        <f t="shared" si="6"/>
        <v>10</v>
      </c>
      <c r="X17" s="26"/>
      <c r="Y17" s="26" t="s">
        <v>67</v>
      </c>
      <c r="Z17" s="26"/>
      <c r="AA17" s="37">
        <f t="shared" si="7"/>
        <v>7.5</v>
      </c>
      <c r="AB17" s="41">
        <f t="shared" si="8"/>
        <v>56.5</v>
      </c>
      <c r="AC17" s="42">
        <f t="shared" si="9"/>
        <v>57</v>
      </c>
      <c r="AD17" t="str">
        <f t="shared" si="0"/>
        <v>ACEPTABLE</v>
      </c>
    </row>
    <row r="18" spans="1:30" ht="22.8" x14ac:dyDescent="0.3">
      <c r="A18" s="12">
        <v>12</v>
      </c>
      <c r="B18" s="35" t="s">
        <v>144</v>
      </c>
      <c r="C18" s="85" t="s">
        <v>125</v>
      </c>
      <c r="D18" s="35">
        <f t="shared" si="1"/>
        <v>12</v>
      </c>
      <c r="E18" s="36" t="s">
        <v>67</v>
      </c>
      <c r="F18" s="26"/>
      <c r="G18" s="26"/>
      <c r="H18" s="37">
        <f t="shared" si="2"/>
        <v>15</v>
      </c>
      <c r="I18" s="26"/>
      <c r="J18" s="26"/>
      <c r="K18" s="26" t="s">
        <v>67</v>
      </c>
      <c r="L18" s="37">
        <f t="shared" si="3"/>
        <v>1.5</v>
      </c>
      <c r="M18" s="26" t="s">
        <v>67</v>
      </c>
      <c r="N18" s="26"/>
      <c r="O18" s="37">
        <f t="shared" si="4"/>
        <v>15</v>
      </c>
      <c r="P18" s="26" t="s">
        <v>67</v>
      </c>
      <c r="Q18" s="26"/>
      <c r="R18" s="37">
        <f t="shared" si="5"/>
        <v>15</v>
      </c>
      <c r="S18" s="26"/>
      <c r="T18" s="26" t="s">
        <v>67</v>
      </c>
      <c r="U18" s="26"/>
      <c r="V18" s="26"/>
      <c r="W18" s="37">
        <f t="shared" si="6"/>
        <v>10</v>
      </c>
      <c r="X18" s="26"/>
      <c r="Y18" s="26" t="s">
        <v>67</v>
      </c>
      <c r="Z18" s="26"/>
      <c r="AA18" s="37">
        <f t="shared" si="7"/>
        <v>7.5</v>
      </c>
      <c r="AB18" s="41">
        <f t="shared" si="8"/>
        <v>64</v>
      </c>
      <c r="AC18" s="42">
        <f t="shared" si="9"/>
        <v>64</v>
      </c>
      <c r="AD18" t="str">
        <f t="shared" si="0"/>
        <v>MODERADO</v>
      </c>
    </row>
    <row r="19" spans="1:30" ht="47.25" customHeight="1" x14ac:dyDescent="0.3">
      <c r="A19" s="12">
        <v>13</v>
      </c>
      <c r="B19" s="35" t="s">
        <v>145</v>
      </c>
      <c r="C19" s="85" t="s">
        <v>126</v>
      </c>
      <c r="D19" s="35">
        <f t="shared" si="1"/>
        <v>13</v>
      </c>
      <c r="E19" s="36" t="s">
        <v>67</v>
      </c>
      <c r="F19" s="26"/>
      <c r="G19" s="26"/>
      <c r="H19" s="37">
        <f t="shared" si="2"/>
        <v>15</v>
      </c>
      <c r="I19" s="26"/>
      <c r="J19" s="26" t="s">
        <v>67</v>
      </c>
      <c r="K19" s="26"/>
      <c r="L19" s="37">
        <f t="shared" si="3"/>
        <v>7.5</v>
      </c>
      <c r="M19" s="26" t="s">
        <v>67</v>
      </c>
      <c r="N19" s="26"/>
      <c r="O19" s="37">
        <f t="shared" si="4"/>
        <v>15</v>
      </c>
      <c r="P19" s="26" t="s">
        <v>67</v>
      </c>
      <c r="Q19" s="26"/>
      <c r="R19" s="37">
        <f t="shared" si="5"/>
        <v>15</v>
      </c>
      <c r="S19" s="26" t="s">
        <v>67</v>
      </c>
      <c r="T19" s="26"/>
      <c r="U19" s="26"/>
      <c r="V19" s="26"/>
      <c r="W19" s="37">
        <f t="shared" si="6"/>
        <v>15</v>
      </c>
      <c r="X19" s="26" t="s">
        <v>67</v>
      </c>
      <c r="Y19" s="26"/>
      <c r="Z19" s="26"/>
      <c r="AA19" s="37">
        <f t="shared" si="7"/>
        <v>15</v>
      </c>
      <c r="AB19" s="41">
        <f t="shared" si="8"/>
        <v>82.5</v>
      </c>
      <c r="AC19" s="42">
        <f t="shared" si="9"/>
        <v>83</v>
      </c>
      <c r="AD19" t="str">
        <f t="shared" si="0"/>
        <v>FUERTE</v>
      </c>
    </row>
    <row r="20" spans="1:30" ht="22.8" x14ac:dyDescent="0.3">
      <c r="A20" s="12">
        <v>14</v>
      </c>
      <c r="B20" s="35" t="s">
        <v>146</v>
      </c>
      <c r="C20" s="85" t="s">
        <v>127</v>
      </c>
      <c r="D20" s="35">
        <f t="shared" si="1"/>
        <v>14</v>
      </c>
      <c r="E20" s="36" t="s">
        <v>67</v>
      </c>
      <c r="F20" s="26"/>
      <c r="G20" s="26"/>
      <c r="H20" s="37">
        <f t="shared" si="2"/>
        <v>15</v>
      </c>
      <c r="I20" s="26"/>
      <c r="J20" s="26" t="s">
        <v>67</v>
      </c>
      <c r="K20" s="26"/>
      <c r="L20" s="37">
        <f t="shared" si="3"/>
        <v>7.5</v>
      </c>
      <c r="M20" s="26" t="s">
        <v>67</v>
      </c>
      <c r="N20" s="26"/>
      <c r="O20" s="37">
        <f t="shared" si="4"/>
        <v>15</v>
      </c>
      <c r="P20" s="26" t="s">
        <v>67</v>
      </c>
      <c r="Q20" s="26"/>
      <c r="R20" s="37">
        <f t="shared" si="5"/>
        <v>15</v>
      </c>
      <c r="S20" s="26" t="s">
        <v>67</v>
      </c>
      <c r="T20" s="26"/>
      <c r="U20" s="26"/>
      <c r="V20" s="26"/>
      <c r="W20" s="37">
        <f t="shared" si="6"/>
        <v>15</v>
      </c>
      <c r="X20" s="26"/>
      <c r="Y20" s="26" t="s">
        <v>67</v>
      </c>
      <c r="Z20" s="26"/>
      <c r="AA20" s="37">
        <f t="shared" si="7"/>
        <v>7.5</v>
      </c>
      <c r="AB20" s="41">
        <f t="shared" si="8"/>
        <v>75</v>
      </c>
      <c r="AC20" s="42">
        <f t="shared" si="9"/>
        <v>75</v>
      </c>
      <c r="AD20" t="str">
        <f t="shared" si="0"/>
        <v>MODERADO</v>
      </c>
    </row>
    <row r="21" spans="1:30" ht="28.8" x14ac:dyDescent="0.3">
      <c r="A21" s="12">
        <v>15</v>
      </c>
      <c r="B21" s="35" t="s">
        <v>147</v>
      </c>
      <c r="C21" s="85" t="s">
        <v>128</v>
      </c>
      <c r="D21" s="35">
        <f t="shared" si="1"/>
        <v>15</v>
      </c>
      <c r="E21" s="36"/>
      <c r="F21" s="26" t="s">
        <v>67</v>
      </c>
      <c r="G21" s="26"/>
      <c r="H21" s="37">
        <f t="shared" si="2"/>
        <v>7.5</v>
      </c>
      <c r="I21" s="26"/>
      <c r="J21" s="26"/>
      <c r="K21" s="26" t="s">
        <v>67</v>
      </c>
      <c r="L21" s="37">
        <f t="shared" si="3"/>
        <v>1.5</v>
      </c>
      <c r="M21" s="26" t="s">
        <v>67</v>
      </c>
      <c r="N21" s="26"/>
      <c r="O21" s="37">
        <f t="shared" si="4"/>
        <v>15</v>
      </c>
      <c r="P21" s="26" t="s">
        <v>67</v>
      </c>
      <c r="Q21" s="26"/>
      <c r="R21" s="37">
        <f t="shared" si="5"/>
        <v>15</v>
      </c>
      <c r="S21" s="26"/>
      <c r="T21" s="26" t="s">
        <v>67</v>
      </c>
      <c r="U21" s="26"/>
      <c r="V21" s="26"/>
      <c r="W21" s="37">
        <f t="shared" si="6"/>
        <v>10</v>
      </c>
      <c r="X21" s="26" t="s">
        <v>67</v>
      </c>
      <c r="Y21" s="26"/>
      <c r="Z21" s="26"/>
      <c r="AA21" s="37">
        <f t="shared" si="7"/>
        <v>15</v>
      </c>
      <c r="AB21" s="41">
        <f t="shared" si="8"/>
        <v>64</v>
      </c>
      <c r="AC21" s="42">
        <f t="shared" si="9"/>
        <v>64</v>
      </c>
      <c r="AD21" t="str">
        <f t="shared" si="0"/>
        <v>MODERADO</v>
      </c>
    </row>
    <row r="22" spans="1:30" ht="28.8" x14ac:dyDescent="0.3">
      <c r="A22" s="12">
        <v>16</v>
      </c>
      <c r="B22" s="35" t="s">
        <v>148</v>
      </c>
      <c r="C22" s="85" t="s">
        <v>129</v>
      </c>
      <c r="D22" s="35">
        <f t="shared" si="1"/>
        <v>16</v>
      </c>
      <c r="E22" s="36" t="s">
        <v>67</v>
      </c>
      <c r="F22" s="26"/>
      <c r="G22" s="26"/>
      <c r="H22" s="37">
        <f t="shared" si="2"/>
        <v>15</v>
      </c>
      <c r="I22" s="26"/>
      <c r="J22" s="26"/>
      <c r="K22" s="26" t="s">
        <v>67</v>
      </c>
      <c r="L22" s="37">
        <f t="shared" si="3"/>
        <v>1.5</v>
      </c>
      <c r="M22" s="26" t="s">
        <v>67</v>
      </c>
      <c r="N22" s="26"/>
      <c r="O22" s="37">
        <f t="shared" si="4"/>
        <v>15</v>
      </c>
      <c r="P22" s="26" t="s">
        <v>67</v>
      </c>
      <c r="Q22" s="26"/>
      <c r="R22" s="37">
        <f t="shared" si="5"/>
        <v>15</v>
      </c>
      <c r="S22" s="26"/>
      <c r="T22" s="26" t="s">
        <v>67</v>
      </c>
      <c r="U22" s="26"/>
      <c r="V22" s="26"/>
      <c r="W22" s="37">
        <f t="shared" si="6"/>
        <v>10</v>
      </c>
      <c r="X22" s="26" t="s">
        <v>67</v>
      </c>
      <c r="Y22" s="26"/>
      <c r="Z22" s="26"/>
      <c r="AA22" s="37">
        <f t="shared" si="7"/>
        <v>15</v>
      </c>
      <c r="AB22" s="41">
        <f t="shared" si="8"/>
        <v>71.5</v>
      </c>
      <c r="AC22" s="42">
        <f t="shared" si="9"/>
        <v>72</v>
      </c>
      <c r="AD22" t="str">
        <f t="shared" si="0"/>
        <v>MODERADO</v>
      </c>
    </row>
    <row r="23" spans="1:30" ht="28.8" x14ac:dyDescent="0.3">
      <c r="A23" s="12">
        <v>17</v>
      </c>
      <c r="B23" s="35" t="s">
        <v>149</v>
      </c>
      <c r="C23" s="85" t="s">
        <v>150</v>
      </c>
      <c r="D23" s="35">
        <f t="shared" si="1"/>
        <v>17</v>
      </c>
      <c r="E23" s="36" t="s">
        <v>67</v>
      </c>
      <c r="F23" s="26"/>
      <c r="G23" s="26"/>
      <c r="H23" s="37">
        <f t="shared" si="2"/>
        <v>15</v>
      </c>
      <c r="I23" s="26" t="s">
        <v>67</v>
      </c>
      <c r="J23" s="26"/>
      <c r="K23" s="26"/>
      <c r="L23" s="37">
        <f t="shared" si="3"/>
        <v>15</v>
      </c>
      <c r="M23" s="26" t="s">
        <v>67</v>
      </c>
      <c r="N23" s="26"/>
      <c r="O23" s="37">
        <f t="shared" si="4"/>
        <v>15</v>
      </c>
      <c r="P23" s="26" t="s">
        <v>67</v>
      </c>
      <c r="Q23" s="26"/>
      <c r="R23" s="37">
        <f t="shared" si="5"/>
        <v>15</v>
      </c>
      <c r="S23" s="26" t="s">
        <v>67</v>
      </c>
      <c r="T23" s="26"/>
      <c r="U23" s="26"/>
      <c r="V23" s="26"/>
      <c r="W23" s="37">
        <f t="shared" si="6"/>
        <v>15</v>
      </c>
      <c r="X23" s="26" t="s">
        <v>67</v>
      </c>
      <c r="Y23" s="26"/>
      <c r="Z23" s="26"/>
      <c r="AA23" s="37">
        <f t="shared" si="7"/>
        <v>15</v>
      </c>
      <c r="AB23" s="41">
        <f t="shared" si="8"/>
        <v>90</v>
      </c>
      <c r="AC23" s="42">
        <f t="shared" si="9"/>
        <v>90</v>
      </c>
      <c r="AD23" t="str">
        <f t="shared" si="0"/>
        <v>FUERTE</v>
      </c>
    </row>
    <row r="24" spans="1:30" ht="22.8" x14ac:dyDescent="0.3">
      <c r="A24" s="12">
        <v>18</v>
      </c>
      <c r="B24" s="35" t="s">
        <v>151</v>
      </c>
      <c r="C24" s="85" t="s">
        <v>130</v>
      </c>
      <c r="D24" s="35">
        <f t="shared" si="1"/>
        <v>18</v>
      </c>
      <c r="E24" s="36" t="s">
        <v>67</v>
      </c>
      <c r="F24" s="26"/>
      <c r="G24" s="26"/>
      <c r="H24" s="37">
        <f t="shared" si="2"/>
        <v>15</v>
      </c>
      <c r="I24" s="26"/>
      <c r="J24" s="26" t="s">
        <v>67</v>
      </c>
      <c r="K24" s="26"/>
      <c r="L24" s="37">
        <f t="shared" si="3"/>
        <v>7.5</v>
      </c>
      <c r="M24" s="26" t="s">
        <v>67</v>
      </c>
      <c r="N24" s="26"/>
      <c r="O24" s="37">
        <f t="shared" si="4"/>
        <v>15</v>
      </c>
      <c r="P24" s="26" t="s">
        <v>67</v>
      </c>
      <c r="Q24" s="26"/>
      <c r="R24" s="37">
        <f t="shared" si="5"/>
        <v>15</v>
      </c>
      <c r="S24" s="26" t="s">
        <v>67</v>
      </c>
      <c r="T24" s="26"/>
      <c r="U24" s="26"/>
      <c r="V24" s="26"/>
      <c r="W24" s="37">
        <f t="shared" si="6"/>
        <v>15</v>
      </c>
      <c r="X24" s="26" t="s">
        <v>67</v>
      </c>
      <c r="Y24" s="26"/>
      <c r="Z24" s="26"/>
      <c r="AA24" s="37">
        <f t="shared" si="7"/>
        <v>15</v>
      </c>
      <c r="AB24" s="41">
        <f t="shared" si="8"/>
        <v>82.5</v>
      </c>
      <c r="AC24" s="42">
        <f t="shared" si="9"/>
        <v>83</v>
      </c>
      <c r="AD24" t="str">
        <f t="shared" si="0"/>
        <v>FUERTE</v>
      </c>
    </row>
    <row r="25" spans="1:30" ht="28.8" x14ac:dyDescent="0.3">
      <c r="A25" s="12">
        <v>19</v>
      </c>
      <c r="B25" s="35" t="s">
        <v>152</v>
      </c>
      <c r="C25" s="85" t="s">
        <v>131</v>
      </c>
      <c r="D25" s="35">
        <f t="shared" si="1"/>
        <v>19</v>
      </c>
      <c r="E25" s="36"/>
      <c r="F25" s="26" t="s">
        <v>67</v>
      </c>
      <c r="G25" s="26"/>
      <c r="H25" s="37">
        <f t="shared" si="2"/>
        <v>7.5</v>
      </c>
      <c r="I25" s="26"/>
      <c r="J25" s="26"/>
      <c r="K25" s="26" t="s">
        <v>67</v>
      </c>
      <c r="L25" s="37">
        <f t="shared" si="3"/>
        <v>1.5</v>
      </c>
      <c r="M25" s="26" t="s">
        <v>67</v>
      </c>
      <c r="N25" s="26"/>
      <c r="O25" s="37">
        <f t="shared" si="4"/>
        <v>15</v>
      </c>
      <c r="P25" s="26" t="s">
        <v>67</v>
      </c>
      <c r="Q25" s="26"/>
      <c r="R25" s="37">
        <f t="shared" si="5"/>
        <v>15</v>
      </c>
      <c r="S25" s="26"/>
      <c r="T25" s="26" t="s">
        <v>67</v>
      </c>
      <c r="U25" s="26"/>
      <c r="V25" s="26"/>
      <c r="W25" s="37">
        <f t="shared" si="6"/>
        <v>10</v>
      </c>
      <c r="X25" s="26"/>
      <c r="Y25" s="26" t="s">
        <v>67</v>
      </c>
      <c r="Z25" s="26"/>
      <c r="AA25" s="37">
        <f t="shared" si="7"/>
        <v>7.5</v>
      </c>
      <c r="AB25" s="41">
        <f t="shared" si="8"/>
        <v>56.5</v>
      </c>
      <c r="AC25" s="42">
        <f t="shared" si="9"/>
        <v>57</v>
      </c>
      <c r="AD25" t="str">
        <f t="shared" si="0"/>
        <v>ACEPTABLE</v>
      </c>
    </row>
    <row r="26" spans="1:30" x14ac:dyDescent="0.3">
      <c r="A26" s="12">
        <v>20</v>
      </c>
      <c r="B26" s="35" t="s">
        <v>153</v>
      </c>
      <c r="C26" s="85" t="s">
        <v>132</v>
      </c>
      <c r="D26" s="35">
        <f t="shared" si="1"/>
        <v>20</v>
      </c>
      <c r="E26" s="36" t="s">
        <v>67</v>
      </c>
      <c r="F26" s="26"/>
      <c r="G26" s="26"/>
      <c r="H26" s="37">
        <f t="shared" si="2"/>
        <v>15</v>
      </c>
      <c r="I26" s="26" t="s">
        <v>67</v>
      </c>
      <c r="J26" s="26"/>
      <c r="K26" s="26"/>
      <c r="L26" s="37">
        <f t="shared" si="3"/>
        <v>15</v>
      </c>
      <c r="M26" s="26" t="s">
        <v>67</v>
      </c>
      <c r="N26" s="26"/>
      <c r="O26" s="37">
        <f t="shared" si="4"/>
        <v>15</v>
      </c>
      <c r="P26" s="26" t="s">
        <v>67</v>
      </c>
      <c r="Q26" s="26"/>
      <c r="R26" s="37">
        <f t="shared" si="5"/>
        <v>15</v>
      </c>
      <c r="S26" s="26" t="s">
        <v>67</v>
      </c>
      <c r="T26" s="26"/>
      <c r="U26" s="26"/>
      <c r="V26" s="26"/>
      <c r="W26" s="37">
        <f t="shared" si="6"/>
        <v>15</v>
      </c>
      <c r="X26" s="26" t="s">
        <v>67</v>
      </c>
      <c r="Y26" s="26"/>
      <c r="Z26" s="26"/>
      <c r="AA26" s="37">
        <f t="shared" si="7"/>
        <v>15</v>
      </c>
      <c r="AB26" s="41">
        <f t="shared" si="8"/>
        <v>90</v>
      </c>
      <c r="AC26" s="42">
        <f t="shared" si="9"/>
        <v>90</v>
      </c>
      <c r="AD26" t="str">
        <f t="shared" si="0"/>
        <v>FUERTE</v>
      </c>
    </row>
    <row r="27" spans="1:30" ht="28.8" x14ac:dyDescent="0.3">
      <c r="A27" s="12">
        <v>21</v>
      </c>
      <c r="B27" s="35" t="s">
        <v>154</v>
      </c>
      <c r="C27" s="85" t="s">
        <v>133</v>
      </c>
      <c r="D27" s="35">
        <f t="shared" si="1"/>
        <v>21</v>
      </c>
      <c r="E27" s="36" t="s">
        <v>67</v>
      </c>
      <c r="F27" s="26"/>
      <c r="G27" s="26"/>
      <c r="H27" s="37">
        <f t="shared" si="2"/>
        <v>15</v>
      </c>
      <c r="I27" s="26" t="s">
        <v>67</v>
      </c>
      <c r="J27" s="26"/>
      <c r="K27" s="26"/>
      <c r="L27" s="37">
        <f t="shared" si="3"/>
        <v>15</v>
      </c>
      <c r="M27" s="26" t="s">
        <v>67</v>
      </c>
      <c r="N27" s="26"/>
      <c r="O27" s="37">
        <f t="shared" si="4"/>
        <v>15</v>
      </c>
      <c r="P27" s="26" t="s">
        <v>67</v>
      </c>
      <c r="Q27" s="26"/>
      <c r="R27" s="37">
        <f t="shared" si="5"/>
        <v>15</v>
      </c>
      <c r="S27" s="26" t="s">
        <v>67</v>
      </c>
      <c r="T27" s="26"/>
      <c r="U27" s="26"/>
      <c r="V27" s="26"/>
      <c r="W27" s="37">
        <f t="shared" si="6"/>
        <v>15</v>
      </c>
      <c r="X27" s="26" t="s">
        <v>67</v>
      </c>
      <c r="Y27" s="26"/>
      <c r="Z27" s="26"/>
      <c r="AA27" s="37">
        <f t="shared" si="7"/>
        <v>15</v>
      </c>
      <c r="AB27" s="41">
        <f t="shared" si="8"/>
        <v>90</v>
      </c>
      <c r="AC27" s="42">
        <f t="shared" si="9"/>
        <v>90</v>
      </c>
      <c r="AD27" t="str">
        <f t="shared" si="0"/>
        <v>FUERTE</v>
      </c>
    </row>
    <row r="28" spans="1:30" ht="22.8" x14ac:dyDescent="0.3">
      <c r="A28" s="12">
        <v>22</v>
      </c>
      <c r="B28" s="35" t="s">
        <v>157</v>
      </c>
      <c r="C28" s="85" t="s">
        <v>158</v>
      </c>
      <c r="D28" s="35">
        <f t="shared" si="1"/>
        <v>22</v>
      </c>
      <c r="E28" s="36" t="s">
        <v>74</v>
      </c>
      <c r="F28" s="26"/>
      <c r="G28" s="26"/>
      <c r="H28" s="37">
        <f t="shared" si="2"/>
        <v>15</v>
      </c>
      <c r="I28" s="26"/>
      <c r="J28" s="26"/>
      <c r="K28" s="26" t="s">
        <v>74</v>
      </c>
      <c r="L28" s="37">
        <f t="shared" si="3"/>
        <v>1.5</v>
      </c>
      <c r="M28" s="26" t="s">
        <v>74</v>
      </c>
      <c r="N28" s="26"/>
      <c r="O28" s="37">
        <f t="shared" si="4"/>
        <v>15</v>
      </c>
      <c r="P28" s="26" t="s">
        <v>74</v>
      </c>
      <c r="Q28" s="26"/>
      <c r="R28" s="37">
        <f t="shared" si="5"/>
        <v>15</v>
      </c>
      <c r="S28" s="26" t="s">
        <v>74</v>
      </c>
      <c r="T28" s="26"/>
      <c r="U28" s="26"/>
      <c r="V28" s="26"/>
      <c r="W28" s="37">
        <f t="shared" si="6"/>
        <v>15</v>
      </c>
      <c r="X28" s="26" t="s">
        <v>74</v>
      </c>
      <c r="Y28" s="26"/>
      <c r="Z28" s="26"/>
      <c r="AA28" s="37">
        <f t="shared" si="7"/>
        <v>15</v>
      </c>
      <c r="AB28" s="41">
        <f t="shared" si="8"/>
        <v>76.5</v>
      </c>
      <c r="AC28" s="42">
        <f t="shared" si="9"/>
        <v>77</v>
      </c>
      <c r="AD28" t="str">
        <f t="shared" si="0"/>
        <v>MODERADO</v>
      </c>
    </row>
    <row r="29" spans="1:30" ht="28.8" x14ac:dyDescent="0.3">
      <c r="A29" s="12">
        <v>23</v>
      </c>
      <c r="B29" s="35" t="s">
        <v>159</v>
      </c>
      <c r="C29" s="38" t="s">
        <v>160</v>
      </c>
      <c r="D29" s="35">
        <f t="shared" si="1"/>
        <v>23</v>
      </c>
      <c r="E29" s="36" t="s">
        <v>74</v>
      </c>
      <c r="F29" s="26"/>
      <c r="G29" s="26"/>
      <c r="H29" s="37">
        <f t="shared" si="2"/>
        <v>15</v>
      </c>
      <c r="I29" s="26" t="s">
        <v>74</v>
      </c>
      <c r="J29" s="26"/>
      <c r="K29" s="26"/>
      <c r="L29" s="37">
        <f t="shared" si="3"/>
        <v>15</v>
      </c>
      <c r="M29" s="26" t="s">
        <v>74</v>
      </c>
      <c r="N29" s="26"/>
      <c r="O29" s="37">
        <f t="shared" si="4"/>
        <v>15</v>
      </c>
      <c r="P29" s="26" t="s">
        <v>74</v>
      </c>
      <c r="Q29" s="26"/>
      <c r="R29" s="37">
        <f t="shared" si="5"/>
        <v>15</v>
      </c>
      <c r="S29" s="26"/>
      <c r="T29" s="26" t="s">
        <v>74</v>
      </c>
      <c r="U29" s="26"/>
      <c r="V29" s="26"/>
      <c r="W29" s="37">
        <f t="shared" si="6"/>
        <v>10</v>
      </c>
      <c r="X29" s="26" t="s">
        <v>74</v>
      </c>
      <c r="Y29" s="26"/>
      <c r="Z29" s="26"/>
      <c r="AA29" s="37">
        <f t="shared" si="7"/>
        <v>15</v>
      </c>
      <c r="AB29" s="41">
        <f t="shared" si="8"/>
        <v>85</v>
      </c>
      <c r="AC29" s="42">
        <f t="shared" si="9"/>
        <v>85</v>
      </c>
      <c r="AD29" t="str">
        <f t="shared" si="0"/>
        <v>FUERTE</v>
      </c>
    </row>
    <row r="30" spans="1:30" ht="43.2" x14ac:dyDescent="0.3">
      <c r="A30" s="12">
        <v>24</v>
      </c>
      <c r="B30" s="35" t="s">
        <v>226</v>
      </c>
      <c r="C30" s="38" t="s">
        <v>227</v>
      </c>
      <c r="D30" s="35">
        <f t="shared" si="1"/>
        <v>24</v>
      </c>
      <c r="E30" s="36" t="s">
        <v>67</v>
      </c>
      <c r="F30" s="26"/>
      <c r="G30" s="26"/>
      <c r="H30" s="37">
        <f t="shared" si="2"/>
        <v>15</v>
      </c>
      <c r="I30" s="26" t="s">
        <v>67</v>
      </c>
      <c r="J30" s="26"/>
      <c r="K30" s="26"/>
      <c r="L30" s="37">
        <f t="shared" si="3"/>
        <v>15</v>
      </c>
      <c r="M30" s="26" t="s">
        <v>67</v>
      </c>
      <c r="N30" s="26"/>
      <c r="O30" s="37">
        <f t="shared" si="4"/>
        <v>15</v>
      </c>
      <c r="P30" s="26" t="s">
        <v>67</v>
      </c>
      <c r="Q30" s="26"/>
      <c r="R30" s="37">
        <f t="shared" si="5"/>
        <v>15</v>
      </c>
      <c r="S30" s="26" t="s">
        <v>67</v>
      </c>
      <c r="T30" s="26"/>
      <c r="U30" s="26"/>
      <c r="V30" s="26"/>
      <c r="W30" s="37">
        <f t="shared" si="6"/>
        <v>15</v>
      </c>
      <c r="X30" s="26"/>
      <c r="Y30" s="26" t="s">
        <v>67</v>
      </c>
      <c r="Z30" s="26"/>
      <c r="AA30" s="37">
        <f t="shared" si="7"/>
        <v>7.5</v>
      </c>
      <c r="AB30" s="41">
        <f t="shared" si="8"/>
        <v>82.5</v>
      </c>
      <c r="AC30" s="42">
        <f t="shared" si="9"/>
        <v>83</v>
      </c>
      <c r="AD30" t="str">
        <f t="shared" si="0"/>
        <v>FUERTE</v>
      </c>
    </row>
    <row r="31" spans="1:30" ht="43.2" x14ac:dyDescent="0.3">
      <c r="A31" s="12">
        <v>25</v>
      </c>
      <c r="B31" s="35" t="s">
        <v>237</v>
      </c>
      <c r="C31" s="38" t="s">
        <v>239</v>
      </c>
      <c r="D31" s="35">
        <f t="shared" si="1"/>
        <v>25</v>
      </c>
      <c r="E31" s="36" t="s">
        <v>74</v>
      </c>
      <c r="F31" s="26"/>
      <c r="G31" s="26"/>
      <c r="H31" s="37">
        <f t="shared" si="2"/>
        <v>15</v>
      </c>
      <c r="I31" s="26" t="s">
        <v>74</v>
      </c>
      <c r="J31" s="26"/>
      <c r="K31" s="26"/>
      <c r="L31" s="37">
        <f t="shared" si="3"/>
        <v>15</v>
      </c>
      <c r="M31" s="26" t="s">
        <v>74</v>
      </c>
      <c r="N31" s="26"/>
      <c r="O31" s="37">
        <f t="shared" si="4"/>
        <v>15</v>
      </c>
      <c r="P31" s="26" t="s">
        <v>74</v>
      </c>
      <c r="Q31" s="26"/>
      <c r="R31" s="37">
        <f t="shared" si="5"/>
        <v>15</v>
      </c>
      <c r="S31" s="26"/>
      <c r="T31" s="26" t="s">
        <v>74</v>
      </c>
      <c r="U31" s="26"/>
      <c r="V31" s="26"/>
      <c r="W31" s="37">
        <f t="shared" si="6"/>
        <v>10</v>
      </c>
      <c r="X31" s="26" t="s">
        <v>74</v>
      </c>
      <c r="Y31" s="26"/>
      <c r="Z31" s="26"/>
      <c r="AA31" s="37">
        <f t="shared" si="7"/>
        <v>15</v>
      </c>
      <c r="AB31" s="41">
        <f t="shared" si="8"/>
        <v>85</v>
      </c>
      <c r="AC31" s="42">
        <f t="shared" si="9"/>
        <v>85</v>
      </c>
      <c r="AD31" t="str">
        <f t="shared" si="0"/>
        <v>FUERTE</v>
      </c>
    </row>
    <row r="32" spans="1:30" ht="43.2" x14ac:dyDescent="0.3">
      <c r="A32" s="12">
        <v>26</v>
      </c>
      <c r="B32" s="35" t="s">
        <v>240</v>
      </c>
      <c r="C32" s="38" t="s">
        <v>241</v>
      </c>
      <c r="D32" s="35">
        <f t="shared" si="1"/>
        <v>26</v>
      </c>
      <c r="E32" s="36" t="s">
        <v>74</v>
      </c>
      <c r="F32" s="26"/>
      <c r="G32" s="26"/>
      <c r="H32" s="37">
        <f t="shared" si="2"/>
        <v>15</v>
      </c>
      <c r="I32" s="26"/>
      <c r="J32" s="26"/>
      <c r="K32" s="26" t="s">
        <v>74</v>
      </c>
      <c r="L32" s="37">
        <f t="shared" si="3"/>
        <v>1.5</v>
      </c>
      <c r="M32" s="26" t="s">
        <v>74</v>
      </c>
      <c r="N32" s="26"/>
      <c r="O32" s="37">
        <f t="shared" si="4"/>
        <v>15</v>
      </c>
      <c r="P32" s="26" t="s">
        <v>74</v>
      </c>
      <c r="Q32" s="26"/>
      <c r="R32" s="37">
        <f t="shared" si="5"/>
        <v>15</v>
      </c>
      <c r="S32" s="26" t="s">
        <v>74</v>
      </c>
      <c r="T32" s="26"/>
      <c r="U32" s="26"/>
      <c r="V32" s="26"/>
      <c r="W32" s="37">
        <f t="shared" si="6"/>
        <v>15</v>
      </c>
      <c r="X32" s="26" t="s">
        <v>74</v>
      </c>
      <c r="Y32" s="26"/>
      <c r="Z32" s="26"/>
      <c r="AA32" s="37">
        <f t="shared" si="7"/>
        <v>15</v>
      </c>
      <c r="AB32" s="41">
        <f t="shared" si="8"/>
        <v>76.5</v>
      </c>
      <c r="AC32" s="42">
        <f t="shared" si="9"/>
        <v>77</v>
      </c>
      <c r="AD32" t="str">
        <f t="shared" si="0"/>
        <v>MODERADO</v>
      </c>
    </row>
    <row r="33" spans="1:30" x14ac:dyDescent="0.3">
      <c r="A33" s="12">
        <v>27</v>
      </c>
      <c r="B33" s="35"/>
      <c r="C33" s="38"/>
      <c r="D33" s="35">
        <f t="shared" si="1"/>
        <v>27</v>
      </c>
      <c r="E33" s="36"/>
      <c r="F33" s="26"/>
      <c r="G33" s="26"/>
      <c r="H33" s="37">
        <f t="shared" si="2"/>
        <v>0</v>
      </c>
      <c r="I33" s="26"/>
      <c r="J33" s="26"/>
      <c r="K33" s="26"/>
      <c r="L33" s="37">
        <f t="shared" si="3"/>
        <v>0</v>
      </c>
      <c r="M33" s="26"/>
      <c r="N33" s="26"/>
      <c r="O33" s="37">
        <f t="shared" si="4"/>
        <v>0</v>
      </c>
      <c r="P33" s="26"/>
      <c r="Q33" s="26"/>
      <c r="R33" s="37">
        <f t="shared" si="5"/>
        <v>0</v>
      </c>
      <c r="S33" s="26"/>
      <c r="T33" s="26"/>
      <c r="U33" s="26"/>
      <c r="V33" s="26"/>
      <c r="W33" s="37">
        <f t="shared" si="6"/>
        <v>0</v>
      </c>
      <c r="X33" s="26"/>
      <c r="Y33" s="26"/>
      <c r="Z33" s="26"/>
      <c r="AA33" s="37">
        <f t="shared" si="7"/>
        <v>0</v>
      </c>
      <c r="AB33" s="41">
        <f t="shared" si="8"/>
        <v>0</v>
      </c>
      <c r="AC33" s="42">
        <f t="shared" si="9"/>
        <v>0</v>
      </c>
      <c r="AD33" t="str">
        <f t="shared" si="0"/>
        <v>INEXISTENTE</v>
      </c>
    </row>
    <row r="34" spans="1:30" x14ac:dyDescent="0.3">
      <c r="A34" s="12">
        <v>28</v>
      </c>
      <c r="B34" s="35"/>
      <c r="C34" s="38"/>
      <c r="D34" s="35">
        <f t="shared" si="1"/>
        <v>28</v>
      </c>
      <c r="E34" s="36"/>
      <c r="F34" s="26"/>
      <c r="G34" s="26"/>
      <c r="H34" s="37">
        <f t="shared" si="2"/>
        <v>0</v>
      </c>
      <c r="I34" s="26"/>
      <c r="J34" s="26"/>
      <c r="K34" s="26"/>
      <c r="L34" s="37">
        <f t="shared" si="3"/>
        <v>0</v>
      </c>
      <c r="M34" s="26"/>
      <c r="N34" s="26"/>
      <c r="O34" s="37">
        <f t="shared" si="4"/>
        <v>0</v>
      </c>
      <c r="P34" s="26"/>
      <c r="Q34" s="26"/>
      <c r="R34" s="37">
        <f t="shared" si="5"/>
        <v>0</v>
      </c>
      <c r="S34" s="26"/>
      <c r="T34" s="26"/>
      <c r="U34" s="26"/>
      <c r="V34" s="26"/>
      <c r="W34" s="37">
        <f t="shared" si="6"/>
        <v>0</v>
      </c>
      <c r="X34" s="26"/>
      <c r="Y34" s="26"/>
      <c r="Z34" s="26"/>
      <c r="AA34" s="37">
        <f t="shared" si="7"/>
        <v>0</v>
      </c>
      <c r="AB34" s="41">
        <f t="shared" si="8"/>
        <v>0</v>
      </c>
      <c r="AC34" s="42">
        <f t="shared" si="9"/>
        <v>0</v>
      </c>
      <c r="AD34" t="str">
        <f t="shared" si="0"/>
        <v>INEXISTENTE</v>
      </c>
    </row>
    <row r="35" spans="1:30" x14ac:dyDescent="0.3">
      <c r="A35" s="12">
        <v>29</v>
      </c>
      <c r="B35" s="35"/>
      <c r="C35" s="38"/>
      <c r="D35" s="35">
        <f t="shared" si="1"/>
        <v>29</v>
      </c>
      <c r="E35" s="36"/>
      <c r="F35" s="26"/>
      <c r="G35" s="26"/>
      <c r="H35" s="37">
        <f t="shared" si="2"/>
        <v>0</v>
      </c>
      <c r="I35" s="26"/>
      <c r="J35" s="26"/>
      <c r="K35" s="26"/>
      <c r="L35" s="37">
        <f t="shared" si="3"/>
        <v>0</v>
      </c>
      <c r="M35" s="26"/>
      <c r="N35" s="26"/>
      <c r="O35" s="37">
        <f t="shared" si="4"/>
        <v>0</v>
      </c>
      <c r="P35" s="26"/>
      <c r="Q35" s="26"/>
      <c r="R35" s="37">
        <f t="shared" si="5"/>
        <v>0</v>
      </c>
      <c r="S35" s="26"/>
      <c r="T35" s="26"/>
      <c r="U35" s="26"/>
      <c r="V35" s="26"/>
      <c r="W35" s="37">
        <f t="shared" si="6"/>
        <v>0</v>
      </c>
      <c r="X35" s="26"/>
      <c r="Y35" s="26"/>
      <c r="Z35" s="26"/>
      <c r="AA35" s="37">
        <f t="shared" si="7"/>
        <v>0</v>
      </c>
      <c r="AB35" s="41">
        <f t="shared" si="8"/>
        <v>0</v>
      </c>
      <c r="AC35" s="42">
        <f t="shared" si="9"/>
        <v>0</v>
      </c>
      <c r="AD35" t="str">
        <f t="shared" si="0"/>
        <v>INEXISTENTE</v>
      </c>
    </row>
    <row r="36" spans="1:30" ht="15" thickBot="1" x14ac:dyDescent="0.35">
      <c r="A36" s="13">
        <v>30</v>
      </c>
      <c r="B36" s="35" t="s">
        <v>79</v>
      </c>
      <c r="C36" s="40" t="s">
        <v>79</v>
      </c>
      <c r="D36" s="35">
        <f t="shared" si="1"/>
        <v>30</v>
      </c>
      <c r="E36" s="36"/>
      <c r="F36" s="26"/>
      <c r="G36" s="26"/>
      <c r="H36" s="37">
        <f t="shared" si="2"/>
        <v>0</v>
      </c>
      <c r="I36" s="26"/>
      <c r="J36" s="26"/>
      <c r="K36" s="26"/>
      <c r="L36" s="37">
        <f t="shared" si="3"/>
        <v>0</v>
      </c>
      <c r="M36" s="26"/>
      <c r="N36" s="26"/>
      <c r="O36" s="37">
        <f t="shared" si="4"/>
        <v>0</v>
      </c>
      <c r="P36" s="26"/>
      <c r="Q36" s="26"/>
      <c r="R36" s="37">
        <f t="shared" si="5"/>
        <v>0</v>
      </c>
      <c r="S36" s="26"/>
      <c r="T36" s="26"/>
      <c r="U36" s="26"/>
      <c r="V36" s="26"/>
      <c r="W36" s="37">
        <f t="shared" si="6"/>
        <v>0</v>
      </c>
      <c r="X36" s="26"/>
      <c r="Y36" s="26"/>
      <c r="Z36" s="26"/>
      <c r="AA36" s="37">
        <f t="shared" si="7"/>
        <v>0</v>
      </c>
      <c r="AB36" s="41">
        <f t="shared" si="8"/>
        <v>0</v>
      </c>
      <c r="AC36" s="42">
        <f t="shared" si="9"/>
        <v>0</v>
      </c>
      <c r="AD36" t="str">
        <f t="shared" si="0"/>
        <v>INEXISTENTE</v>
      </c>
    </row>
  </sheetData>
  <mergeCells count="14">
    <mergeCell ref="A5:C5"/>
    <mergeCell ref="AB5:AD5"/>
    <mergeCell ref="X5:AA5"/>
    <mergeCell ref="E5:H5"/>
    <mergeCell ref="I5:L5"/>
    <mergeCell ref="M5:O5"/>
    <mergeCell ref="P5:R5"/>
    <mergeCell ref="S5:W5"/>
    <mergeCell ref="A1:C3"/>
    <mergeCell ref="D1:Q1"/>
    <mergeCell ref="R1:AH1"/>
    <mergeCell ref="D2:Q3"/>
    <mergeCell ref="R2:AH2"/>
    <mergeCell ref="R3:AH3"/>
  </mergeCells>
  <conditionalFormatting sqref="AD7:AD36">
    <cfRule type="containsText" dxfId="4" priority="1" operator="containsText" text="FUERTE">
      <formula>NOT(ISERROR(SEARCH("FUERTE",AD7)))</formula>
    </cfRule>
    <cfRule type="containsText" dxfId="3" priority="2" operator="containsText" text="MODERADO">
      <formula>NOT(ISERROR(SEARCH("MODERADO",AD7)))</formula>
    </cfRule>
    <cfRule type="containsText" dxfId="2" priority="3" operator="containsText" text="ACEPTABLE">
      <formula>NOT(ISERROR(SEARCH("ACEPTABLE",AD7)))</formula>
    </cfRule>
    <cfRule type="containsText" dxfId="1" priority="4" operator="containsText" text="DEBIL">
      <formula>NOT(ISERROR(SEARCH("DEBIL",AD7)))</formula>
    </cfRule>
    <cfRule type="containsText" dxfId="0" priority="5" operator="containsText" text="INEXISTENTE">
      <formula>NOT(ISERROR(SEARCH("INEXISTENTE",AD7)))</formula>
    </cfRule>
  </conditionalFormatting>
  <pageMargins left="0.70866141732283472" right="0.70866141732283472" top="0.74803149606299213" bottom="0.74803149606299213" header="0.31496062992125984" footer="0.31496062992125984"/>
  <pageSetup paperSize="5" scale="46" orientation="landscape" r:id="rId1"/>
  <headerFooter>
    <oddFooter>&amp;RFABIO ALEJANDRO SANCHEZ FONSECA
Consultor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W28"/>
  <sheetViews>
    <sheetView workbookViewId="0">
      <selection activeCell="G26" sqref="G26"/>
    </sheetView>
  </sheetViews>
  <sheetFormatPr baseColWidth="10" defaultRowHeight="18" x14ac:dyDescent="0.35"/>
  <cols>
    <col min="2" max="2" width="3.77734375" customWidth="1"/>
    <col min="3" max="3" width="5.5546875" customWidth="1"/>
    <col min="4" max="4" width="15.77734375" bestFit="1" customWidth="1"/>
    <col min="5" max="5" width="28.21875" style="10" customWidth="1"/>
    <col min="6" max="6" width="24" style="10" customWidth="1"/>
    <col min="7" max="7" width="34.5546875" style="10" customWidth="1"/>
    <col min="8" max="8" width="34.21875" style="10" customWidth="1"/>
    <col min="9" max="9" width="36.21875" style="10" customWidth="1"/>
    <col min="11" max="11" width="13" bestFit="1" customWidth="1"/>
    <col min="20" max="20" width="11.77734375" bestFit="1" customWidth="1"/>
    <col min="22" max="22" width="11.77734375" bestFit="1" customWidth="1"/>
  </cols>
  <sheetData>
    <row r="2" spans="2:23" x14ac:dyDescent="0.35">
      <c r="D2" s="22" t="s">
        <v>84</v>
      </c>
    </row>
    <row r="3" spans="2:23" ht="18.600000000000001" thickBot="1" x14ac:dyDescent="0.4">
      <c r="G3"/>
      <c r="H3"/>
      <c r="I3"/>
    </row>
    <row r="4" spans="2:23" ht="18.600000000000001" thickBot="1" x14ac:dyDescent="0.35">
      <c r="B4" s="52">
        <v>5</v>
      </c>
      <c r="C4" s="128" t="s">
        <v>27</v>
      </c>
      <c r="D4" s="20" t="s">
        <v>36</v>
      </c>
      <c r="E4" s="62" t="str">
        <f>CONCATENATE(IF(AND('Matriz Riesgo'!H6=5,'Matriz Riesgo'!K6=1)," "&amp;'Matriz Riesgo'!A6&amp;","," "),IF(AND('Matriz Riesgo'!H7=5,'Matriz Riesgo'!K7=1)," "&amp;'Matriz Riesgo'!A7&amp;","," "),IF(AND('Matriz Riesgo'!H8=5,'Matriz Riesgo'!K8=1)," "&amp;'Matriz Riesgo'!A8&amp;","," "),IF(AND('Matriz Riesgo'!H9=5,'Matriz Riesgo'!K9=1)," "&amp;'Matriz Riesgo'!A9&amp;","," "),IF(AND('Matriz Riesgo'!H10=5,'Matriz Riesgo'!K10=1)," "&amp;'Matriz Riesgo'!A10&amp;","," "),IF(AND('Matriz Riesgo'!H11=5,'Matriz Riesgo'!K11=1)," "&amp;'Matriz Riesgo'!A11&amp;","," "),IF(AND('Matriz Riesgo'!H12=5,'Matriz Riesgo'!K12=1)," "&amp;'Matriz Riesgo'!A12&amp;","," "),IF(AND('Matriz Riesgo'!H13=5,'Matriz Riesgo'!K13=1)," "&amp;'Matriz Riesgo'!A13&amp;","," "),IF(AND('Matriz Riesgo'!H14=5,'Matriz Riesgo'!K14=1)," "&amp;'Matriz Riesgo'!A14&amp;","," "),IF(AND('Matriz Riesgo'!H15=5,'Matriz Riesgo'!K15=1)," "&amp;'Matriz Riesgo'!A15&amp;","," "),IF(AND('Matriz Riesgo'!H16=5,'Matriz Riesgo'!K16=1)," "&amp;'Matriz Riesgo'!A16&amp;","," "),IF(AND('Matriz Riesgo'!H17=5,'Matriz Riesgo'!K17=1)," "&amp;'Matriz Riesgo'!A17&amp;","," "),IF(AND('Matriz Riesgo'!H18=5,'Matriz Riesgo'!K18=1)," "&amp;'Matriz Riesgo'!A18&amp;","," "),IF(AND('Matriz Riesgo'!H19=5,'Matriz Riesgo'!K19=1)," "&amp;'Matriz Riesgo'!A19&amp;","," "),IF(AND('Matriz Riesgo'!H20=5,'Matriz Riesgo'!K20=1)," "&amp;'Matriz Riesgo'!A20&amp;","," "),IF(AND('Matriz Riesgo'!H21=5,'Matriz Riesgo'!K21=1)," "&amp;'Matriz Riesgo'!A21&amp;","," "),IF(AND('Matriz Riesgo'!H22=5,'Matriz Riesgo'!K22=1)," "&amp;'Matriz Riesgo'!A22&amp;","," "),IF(AND('Matriz Riesgo'!H23=5,'Matriz Riesgo'!K23=1)," "&amp;'Matriz Riesgo'!A23&amp;","," "),IF(AND('Matriz Riesgo'!H24=5,'Matriz Riesgo'!K24=1)," "&amp;'Matriz Riesgo'!A24&amp;","," "),IF(AND('Matriz Riesgo'!H25=5,'Matriz Riesgo'!K25=1)," "&amp;'Matriz Riesgo'!A25&amp;","," "),IF(AND('Matriz Riesgo'!H26=5,'Matriz Riesgo'!K26=1)," "&amp;'Matriz Riesgo'!A26," "))</f>
        <v xml:space="preserve">                     </v>
      </c>
      <c r="F4" s="59" t="str">
        <f>CONCATENATE(IF(AND('Matriz Riesgo'!H7=5,'Matriz Riesgo'!K7=2)," "&amp;'Matriz Riesgo'!A7&amp;","," "),IF(AND('Matriz Riesgo'!H8=5,'Matriz Riesgo'!K8=2)," "&amp;'Matriz Riesgo'!A8&amp;","," "),IF(AND('Matriz Riesgo'!H9=5,'Matriz Riesgo'!K9=2)," "&amp;'Matriz Riesgo'!A9&amp;","," "),IF(AND('Matriz Riesgo'!H10=5,'Matriz Riesgo'!K10=2)," "&amp;'Matriz Riesgo'!A10&amp;","," "),IF(AND('Matriz Riesgo'!H11=5,'Matriz Riesgo'!K11=2)," "&amp;'Matriz Riesgo'!A11&amp;","," "),IF(AND('Matriz Riesgo'!H12=5,'Matriz Riesgo'!K12=2)," "&amp;'Matriz Riesgo'!A12&amp;","," "),IF(AND('Matriz Riesgo'!H13=5,'Matriz Riesgo'!K13=2)," "&amp;'Matriz Riesgo'!A13&amp;","," "),IF(AND('Matriz Riesgo'!H14=5,'Matriz Riesgo'!K14=2)," "&amp;'Matriz Riesgo'!A14&amp;","," "),IF(AND('Matriz Riesgo'!H15=5,'Matriz Riesgo'!K15=2)," "&amp;'Matriz Riesgo'!A15&amp;","," "),IF(AND('Matriz Riesgo'!H16=5,'Matriz Riesgo'!K16=2)," "&amp;'Matriz Riesgo'!A16&amp;","," "),IF(AND('Matriz Riesgo'!H17=5,'Matriz Riesgo'!K17=2)," "&amp;'Matriz Riesgo'!A17&amp;","," "),IF(AND('Matriz Riesgo'!H18=5,'Matriz Riesgo'!K18=2)," "&amp;'Matriz Riesgo'!A18&amp;","," "),IF(AND('Matriz Riesgo'!H19=5,'Matriz Riesgo'!K19=2)," "&amp;'Matriz Riesgo'!A19&amp;","," "),IF(AND('Matriz Riesgo'!H20=5,'Matriz Riesgo'!K20=2)," "&amp;'Matriz Riesgo'!A20&amp;","," "),IF(AND('Matriz Riesgo'!H21=5,'Matriz Riesgo'!K21=2)," "&amp;'Matriz Riesgo'!A21&amp;","," "),IF(AND('Matriz Riesgo'!H22=5,'Matriz Riesgo'!K22=2)," "&amp;'Matriz Riesgo'!A22&amp;","," "),IF(AND('Matriz Riesgo'!H23=5,'Matriz Riesgo'!K23=2)," "&amp;'Matriz Riesgo'!A23&amp;","," "),IF(AND('Matriz Riesgo'!H24=5,'Matriz Riesgo'!K24=2)," "&amp;'Matriz Riesgo'!A24&amp;","," "),IF(AND('Matriz Riesgo'!H25=5,'Matriz Riesgo'!K25=2)," "&amp;'Matriz Riesgo'!A25&amp;","," "),IF(AND('Matriz Riesgo'!H26=5,'Matriz Riesgo'!K26=2)," "&amp;'Matriz Riesgo'!A26&amp;","," "),IF(AND('Matriz Riesgo'!H27=5,'Matriz Riesgo'!K27=2)," "&amp;'Matriz Riesgo'!A27," "))</f>
        <v xml:space="preserve">                     </v>
      </c>
      <c r="G4" s="59" t="str">
        <f>CONCATENATE(IF(AND('Matriz Riesgo'!H7=5,'Matriz Riesgo'!K7=3)," "&amp;'Matriz Riesgo'!A7&amp;","," "),IF(AND('Matriz Riesgo'!H8=5,'Matriz Riesgo'!K8=3)," "&amp;'Matriz Riesgo'!A8&amp;","," "),IF(AND('Matriz Riesgo'!H9=5,'Matriz Riesgo'!K9=3)," "&amp;'Matriz Riesgo'!A9&amp;","," "),IF(AND('Matriz Riesgo'!H10=5,'Matriz Riesgo'!K10=3)," "&amp;'Matriz Riesgo'!A10&amp;","," "),IF(AND('Matriz Riesgo'!H11=5,'Matriz Riesgo'!K11=3)," "&amp;'Matriz Riesgo'!A11&amp;","," "),IF(AND('Matriz Riesgo'!H12=5,'Matriz Riesgo'!K12=3)," "&amp;'Matriz Riesgo'!A12&amp;","," "),IF(AND('Matriz Riesgo'!H13=5,'Matriz Riesgo'!K13=3)," "&amp;'Matriz Riesgo'!A13&amp;","," "),IF(AND('Matriz Riesgo'!H14=5,'Matriz Riesgo'!K14=3)," "&amp;'Matriz Riesgo'!A14&amp;","," "),IF(AND('Matriz Riesgo'!H15=5,'Matriz Riesgo'!K15=3)," "&amp;'Matriz Riesgo'!A15&amp;","," "),IF(AND('Matriz Riesgo'!H16=5,'Matriz Riesgo'!K16=3)," "&amp;'Matriz Riesgo'!A16&amp;","," "),IF(AND('Matriz Riesgo'!H17=5,'Matriz Riesgo'!K17=3)," "&amp;'Matriz Riesgo'!A17&amp;","," "),IF(AND('Matriz Riesgo'!H18=5,'Matriz Riesgo'!K18=3)," "&amp;'Matriz Riesgo'!A18&amp;","," "),IF(AND('Matriz Riesgo'!H19=5,'Matriz Riesgo'!K19=3)," "&amp;'Matriz Riesgo'!A19&amp;","," "),IF(AND('Matriz Riesgo'!H20=5,'Matriz Riesgo'!K20=3)," "&amp;'Matriz Riesgo'!A20&amp;","," "),IF(AND('Matriz Riesgo'!H21=5,'Matriz Riesgo'!K21=3)," "&amp;'Matriz Riesgo'!A21&amp;","," "),IF(AND('Matriz Riesgo'!H22=5,'Matriz Riesgo'!K22=3)," "&amp;'Matriz Riesgo'!A22&amp;","," "),IF(AND('Matriz Riesgo'!H23=5,'Matriz Riesgo'!K23=3)," "&amp;'Matriz Riesgo'!A23&amp;","," "),IF(AND('Matriz Riesgo'!H24=5,'Matriz Riesgo'!K24=3)," "&amp;'Matriz Riesgo'!A24&amp;","," "),IF(AND('Matriz Riesgo'!H25=5,'Matriz Riesgo'!K25=3)," "&amp;'Matriz Riesgo'!A25&amp;","," "),IF(AND('Matriz Riesgo'!H26=5,'Matriz Riesgo'!K26=3)," "&amp;'Matriz Riesgo'!A26&amp;","," "),IF(AND('Matriz Riesgo'!H27=5,'Matriz Riesgo'!K27=3)," "&amp;'Matriz Riesgo'!A27," "))</f>
        <v xml:space="preserve">                     </v>
      </c>
      <c r="H4" s="63" t="str">
        <f>CONCATENATE(IF(AND('Matriz Riesgo'!H7=5,'Matriz Riesgo'!K7=4)," "&amp;'Matriz Riesgo'!A7&amp;","," "),IF(AND('Matriz Riesgo'!H8=5,'Matriz Riesgo'!K8=4)," "&amp;'Matriz Riesgo'!A8&amp;","," "),IF(AND('Matriz Riesgo'!H9=5,'Matriz Riesgo'!K9=4)," "&amp;'Matriz Riesgo'!A9&amp;","," "),IF(AND('Matriz Riesgo'!H10=5,'Matriz Riesgo'!K10=4)," "&amp;'Matriz Riesgo'!A10&amp;","," "),IF(AND('Matriz Riesgo'!H11=5,'Matriz Riesgo'!K11=4)," "&amp;'Matriz Riesgo'!A11&amp;","," "),IF(AND('Matriz Riesgo'!H12=5,'Matriz Riesgo'!K12=4)," "&amp;'Matriz Riesgo'!A12&amp;","," "),IF(AND('Matriz Riesgo'!H13=5,'Matriz Riesgo'!K13=4)," "&amp;'Matriz Riesgo'!A13&amp;","," "),IF(AND('Matriz Riesgo'!H14=5,'Matriz Riesgo'!K14=4)," "&amp;'Matriz Riesgo'!A14&amp;","," "),IF(AND('Matriz Riesgo'!H15=5,'Matriz Riesgo'!K15=4)," "&amp;'Matriz Riesgo'!A15&amp;","," "),IF(AND('Matriz Riesgo'!H16=5,'Matriz Riesgo'!K16=4)," "&amp;'Matriz Riesgo'!A16&amp;","," "),IF(AND('Matriz Riesgo'!H17=5,'Matriz Riesgo'!K17=4)," "&amp;'Matriz Riesgo'!A17&amp;","," "),IF(AND('Matriz Riesgo'!H18=5,'Matriz Riesgo'!K18=4)," "&amp;'Matriz Riesgo'!A18&amp;","," "),IF(AND('Matriz Riesgo'!H19=5,'Matriz Riesgo'!K19=4)," "&amp;'Matriz Riesgo'!A19&amp;","," "),IF(AND('Matriz Riesgo'!H20=5,'Matriz Riesgo'!K20=4)," "&amp;'Matriz Riesgo'!A20&amp;","," "),IF(AND('Matriz Riesgo'!H21=5,'Matriz Riesgo'!K21=4)," "&amp;'Matriz Riesgo'!A21&amp;","," "),IF(AND('Matriz Riesgo'!H22=5,'Matriz Riesgo'!K22=4)," "&amp;'Matriz Riesgo'!A22&amp;","," "),IF(AND('Matriz Riesgo'!H23=5,'Matriz Riesgo'!K23=4)," "&amp;'Matriz Riesgo'!A23&amp;","," "),IF(AND('Matriz Riesgo'!H24=5,'Matriz Riesgo'!K24=4)," "&amp;'Matriz Riesgo'!A24&amp;","," "),IF(AND('Matriz Riesgo'!H25=5,'Matriz Riesgo'!K25=4)," "&amp;'Matriz Riesgo'!A25&amp;","," "),IF(AND('Matriz Riesgo'!H26=5,'Matriz Riesgo'!K26=4)," "&amp;'Matriz Riesgo'!A26&amp;","," "),IF(AND('Matriz Riesgo'!H27=5,'Matriz Riesgo'!K27=4)," "&amp;'Matriz Riesgo'!A27," "))</f>
        <v xml:space="preserve">                     </v>
      </c>
      <c r="I4" s="70" t="str">
        <f>CONCATENATE(IF(AND('Matriz Riesgo'!H7=5,'Matriz Riesgo'!K7=5)," "&amp;'Matriz Riesgo'!A7&amp;","," "),IF(AND('Matriz Riesgo'!H8=5,'Matriz Riesgo'!K8=5)," "&amp;'Matriz Riesgo'!A8&amp;","," "),IF(AND('Matriz Riesgo'!H9=5,'Matriz Riesgo'!K9=5)," "&amp;'Matriz Riesgo'!A9&amp;","," "),IF(AND('Matriz Riesgo'!H10=5,'Matriz Riesgo'!K10=5)," "&amp;'Matriz Riesgo'!A10&amp;","," "),IF(AND('Matriz Riesgo'!H11=5,'Matriz Riesgo'!K11=5)," "&amp;'Matriz Riesgo'!A11&amp;","," "),IF(AND('Matriz Riesgo'!H12=5,'Matriz Riesgo'!K12=5)," "&amp;'Matriz Riesgo'!A12&amp;","," "),IF(AND('Matriz Riesgo'!H13=5,'Matriz Riesgo'!K13=5)," "&amp;'Matriz Riesgo'!A13&amp;","," "),IF(AND('Matriz Riesgo'!H14=5,'Matriz Riesgo'!K14=5)," "&amp;'Matriz Riesgo'!A14&amp;","," "),IF(AND('Matriz Riesgo'!H15=5,'Matriz Riesgo'!K15=5)," "&amp;'Matriz Riesgo'!A15&amp;","," "),IF(AND('Matriz Riesgo'!H16=5,'Matriz Riesgo'!K16=5)," "&amp;'Matriz Riesgo'!A16&amp;","," "),IF(AND('Matriz Riesgo'!H17=5,'Matriz Riesgo'!K17=5)," "&amp;'Matriz Riesgo'!A17&amp;","," "),IF(AND('Matriz Riesgo'!H18=5,'Matriz Riesgo'!K18=5)," "&amp;'Matriz Riesgo'!A18&amp;","," "),IF(AND('Matriz Riesgo'!H19=5,'Matriz Riesgo'!K19=5)," "&amp;'Matriz Riesgo'!A19&amp;","," "),IF(AND('Matriz Riesgo'!H20=5,'Matriz Riesgo'!K20=5)," "&amp;'Matriz Riesgo'!A20&amp;","," "),IF(AND('Matriz Riesgo'!H21=5,'Matriz Riesgo'!K21=5)," "&amp;'Matriz Riesgo'!A21&amp;","," "),IF(AND('Matriz Riesgo'!H22=5,'Matriz Riesgo'!K22=5)," "&amp;'Matriz Riesgo'!A22&amp;","," "),IF(AND('Matriz Riesgo'!H23=5,'Matriz Riesgo'!K23=5)," "&amp;'Matriz Riesgo'!A23&amp;","," "),IF(AND('Matriz Riesgo'!H24=5,'Matriz Riesgo'!K24=5)," "&amp;'Matriz Riesgo'!A24&amp;","," "),IF(AND('Matriz Riesgo'!H25=5,'Matriz Riesgo'!K25=5)," "&amp;'Matriz Riesgo'!A25&amp;","," "),IF(AND('Matriz Riesgo'!H26=5,'Matriz Riesgo'!K26=5)," "&amp;'Matriz Riesgo'!A26&amp;","," "),IF(AND('Matriz Riesgo'!H27=5,'Matriz Riesgo'!K27=5)," "&amp;'Matriz Riesgo'!A27," "))</f>
        <v xml:space="preserve">                     </v>
      </c>
      <c r="K4" t="s">
        <v>94</v>
      </c>
      <c r="L4" t="s">
        <v>95</v>
      </c>
      <c r="M4" t="s">
        <v>96</v>
      </c>
      <c r="S4">
        <f>IF(P4&gt;Q4,0,)</f>
        <v>0</v>
      </c>
    </row>
    <row r="5" spans="2:23" ht="21" customHeight="1" thickBot="1" x14ac:dyDescent="0.35">
      <c r="B5" s="52">
        <v>4</v>
      </c>
      <c r="C5" s="129"/>
      <c r="D5" s="21" t="s">
        <v>37</v>
      </c>
      <c r="E5" s="61" t="str">
        <f>CONCATENATE(IF(AND('Matriz Riesgo'!H6=4,'Matriz Riesgo'!K6=1)," "&amp;'Matriz Riesgo'!A6&amp;","," "),IF(AND('Matriz Riesgo'!H7=4,'Matriz Riesgo'!K7=1)," "&amp;'Matriz Riesgo'!A7&amp;","," "),IF(AND('Matriz Riesgo'!H8=4,'Matriz Riesgo'!K8=1)," "&amp;'Matriz Riesgo'!A8&amp;","," "),IF(AND('Matriz Riesgo'!H9=4,'Matriz Riesgo'!K9=1)," "&amp;'Matriz Riesgo'!A9&amp;","," "),IF(AND('Matriz Riesgo'!H10=4,'Matriz Riesgo'!K10=1)," "&amp;'Matriz Riesgo'!A10&amp;","," "),IF(AND('Matriz Riesgo'!H11=4,'Matriz Riesgo'!K11=1)," "&amp;'Matriz Riesgo'!A11&amp;","," "),IF(AND('Matriz Riesgo'!H12=4,'Matriz Riesgo'!K12=1)," "&amp;'Matriz Riesgo'!A12&amp;","," "),IF(AND('Matriz Riesgo'!H13=4,'Matriz Riesgo'!K13=1)," "&amp;'Matriz Riesgo'!A13&amp;","," "),IF(AND('Matriz Riesgo'!H14=4,'Matriz Riesgo'!K14=1)," "&amp;'Matriz Riesgo'!A14&amp;","," "),IF(AND('Matriz Riesgo'!H15=4,'Matriz Riesgo'!K15=1)," "&amp;'Matriz Riesgo'!A15&amp;","," "),IF(AND('Matriz Riesgo'!H16=4,'Matriz Riesgo'!K16=1)," "&amp;'Matriz Riesgo'!A16&amp;","," "),IF(AND('Matriz Riesgo'!H17=4,'Matriz Riesgo'!K17=1)," "&amp;'Matriz Riesgo'!A17&amp;","," "),IF(AND('Matriz Riesgo'!H18=4,'Matriz Riesgo'!K18=1)," "&amp;'Matriz Riesgo'!A18&amp;","," "),IF(AND('Matriz Riesgo'!H19=4,'Matriz Riesgo'!K19=1)," "&amp;'Matriz Riesgo'!A19&amp;","," "),IF(AND('Matriz Riesgo'!H20=4,'Matriz Riesgo'!K20=1)," "&amp;'Matriz Riesgo'!A20&amp;","," "),IF(AND('Matriz Riesgo'!H21=4,'Matriz Riesgo'!K21=1)," "&amp;'Matriz Riesgo'!A21&amp;","," "),IF(AND('Matriz Riesgo'!H22=4,'Matriz Riesgo'!K22=1)," "&amp;'Matriz Riesgo'!A22&amp;","," "),IF(AND('Matriz Riesgo'!H23=4,'Matriz Riesgo'!K23=1)," "&amp;'Matriz Riesgo'!A23&amp;","," "),IF(AND('Matriz Riesgo'!H24=4,'Matriz Riesgo'!K24=1)," "&amp;'Matriz Riesgo'!A24&amp;","," "),IF(AND('Matriz Riesgo'!H25=4,'Matriz Riesgo'!K25=1)," "&amp;'Matriz Riesgo'!A25&amp;","," "),IF(AND('Matriz Riesgo'!H26=4,'Matriz Riesgo'!K26=1)," "&amp;'Matriz Riesgo'!A26," "))</f>
        <v xml:space="preserve">                     </v>
      </c>
      <c r="F5" s="60" t="str">
        <f>CONCATENATE(IF(AND('Matriz Riesgo'!H7=4,'Matriz Riesgo'!K7=2)," "&amp;'Matriz Riesgo'!A7&amp;","," "),IF(AND('Matriz Riesgo'!H8=4,'Matriz Riesgo'!K8=2)," "&amp;'Matriz Riesgo'!A8&amp;","," "),IF(AND('Matriz Riesgo'!H9=4,'Matriz Riesgo'!K9=2)," "&amp;'Matriz Riesgo'!A9&amp;","," "),IF(AND('Matriz Riesgo'!H10=4,'Matriz Riesgo'!K10=2)," "&amp;'Matriz Riesgo'!A10&amp;","," "),IF(AND('Matriz Riesgo'!H11=4,'Matriz Riesgo'!K11=2)," "&amp;'Matriz Riesgo'!A11&amp;","," "),IF(AND('Matriz Riesgo'!H12=4,'Matriz Riesgo'!K12=2)," "&amp;'Matriz Riesgo'!A12&amp;","," "),IF(AND('Matriz Riesgo'!H13=4,'Matriz Riesgo'!K13=2)," "&amp;'Matriz Riesgo'!A13&amp;","," "),IF(AND('Matriz Riesgo'!H14=4,'Matriz Riesgo'!K14=2)," "&amp;'Matriz Riesgo'!A14&amp;","," "),IF(AND('Matriz Riesgo'!H15=4,'Matriz Riesgo'!K15=2)," "&amp;'Matriz Riesgo'!A15&amp;","," "),IF(AND('Matriz Riesgo'!H16=4,'Matriz Riesgo'!K16=2)," "&amp;'Matriz Riesgo'!A16&amp;","," "),IF(AND('Matriz Riesgo'!H17=4,'Matriz Riesgo'!K17=2)," "&amp;'Matriz Riesgo'!A17&amp;","," "),IF(AND('Matriz Riesgo'!H18=4,'Matriz Riesgo'!K18=2)," "&amp;'Matriz Riesgo'!A18&amp;","," "),IF(AND('Matriz Riesgo'!H19=4,'Matriz Riesgo'!K19=2)," "&amp;'Matriz Riesgo'!A19&amp;","," "),IF(AND('Matriz Riesgo'!H20=4,'Matriz Riesgo'!K20=2)," "&amp;'Matriz Riesgo'!A20&amp;","," "),IF(AND('Matriz Riesgo'!H21=4,'Matriz Riesgo'!K21=2)," "&amp;'Matriz Riesgo'!A21&amp;","," "),IF(AND('Matriz Riesgo'!H22=4,'Matriz Riesgo'!K22=2)," "&amp;'Matriz Riesgo'!A22&amp;","," "),IF(AND('Matriz Riesgo'!H23=4,'Matriz Riesgo'!K23=2)," "&amp;'Matriz Riesgo'!A23&amp;","," "),IF(AND('Matriz Riesgo'!H24=4,'Matriz Riesgo'!K24=2)," "&amp;'Matriz Riesgo'!A24&amp;","," "),IF(AND('Matriz Riesgo'!H25=4,'Matriz Riesgo'!K25=2)," "&amp;'Matriz Riesgo'!A25&amp;","," "),IF(AND('Matriz Riesgo'!H26=4,'Matriz Riesgo'!K26=2)," "&amp;'Matriz Riesgo'!A26&amp;","," "),IF(AND('Matriz Riesgo'!H27=4,'Matriz Riesgo'!K27=2)," "&amp;'Matriz Riesgo'!A27," "))</f>
        <v xml:space="preserve">                     </v>
      </c>
      <c r="G5" s="59" t="str">
        <f>CONCATENATE(IF(AND('Matriz Riesgo'!H7=4,'Matriz Riesgo'!K7=3)," "&amp;'Matriz Riesgo'!A7&amp;","," "),IF(AND('Matriz Riesgo'!H8=4,'Matriz Riesgo'!K8=3)," "&amp;'Matriz Riesgo'!A8&amp;","," "),IF(AND('Matriz Riesgo'!H9=4,'Matriz Riesgo'!K9=3)," "&amp;'Matriz Riesgo'!A9&amp;","," "),IF(AND('Matriz Riesgo'!H10=4,'Matriz Riesgo'!K10=3)," "&amp;'Matriz Riesgo'!A10&amp;","," "),IF(AND('Matriz Riesgo'!H11=4,'Matriz Riesgo'!K11=3)," "&amp;'Matriz Riesgo'!A11&amp;","," "),IF(AND('Matriz Riesgo'!H12=4,'Matriz Riesgo'!K12=3)," "&amp;'Matriz Riesgo'!A12&amp;","," "),IF(AND('Matriz Riesgo'!H13=4,'Matriz Riesgo'!K13=3)," "&amp;'Matriz Riesgo'!A13&amp;","," "),IF(AND('Matriz Riesgo'!H14=4,'Matriz Riesgo'!K14=3)," "&amp;'Matriz Riesgo'!A14&amp;","," "),IF(AND('Matriz Riesgo'!H15=4,'Matriz Riesgo'!K15=3)," "&amp;'Matriz Riesgo'!A15&amp;","," "),IF(AND('Matriz Riesgo'!H16=4,'Matriz Riesgo'!K16=3)," "&amp;'Matriz Riesgo'!A16&amp;","," "),IF(AND('Matriz Riesgo'!H17=4,'Matriz Riesgo'!K17=3)," "&amp;'Matriz Riesgo'!A17&amp;","," "),IF(AND('Matriz Riesgo'!H18=4,'Matriz Riesgo'!K18=3)," "&amp;'Matriz Riesgo'!A18&amp;","," "),IF(AND('Matriz Riesgo'!H19=4,'Matriz Riesgo'!K19=3)," "&amp;'Matriz Riesgo'!A19&amp;","," "),IF(AND('Matriz Riesgo'!H20=4,'Matriz Riesgo'!K20=3)," "&amp;'Matriz Riesgo'!A20&amp;","," "),IF(AND('Matriz Riesgo'!H21=4,'Matriz Riesgo'!K21=3)," "&amp;'Matriz Riesgo'!A21&amp;","," "),IF(AND('Matriz Riesgo'!H22=4,'Matriz Riesgo'!K22=3)," "&amp;'Matriz Riesgo'!A22&amp;","," "),IF(AND('Matriz Riesgo'!H23=4,'Matriz Riesgo'!K23=3)," "&amp;'Matriz Riesgo'!A23&amp;","," "),IF(AND('Matriz Riesgo'!H24=4,'Matriz Riesgo'!K24=3)," "&amp;'Matriz Riesgo'!A24&amp;","," "),IF(AND('Matriz Riesgo'!H25=4,'Matriz Riesgo'!K25=3)," "&amp;'Matriz Riesgo'!A25&amp;","," "),IF(AND('Matriz Riesgo'!H26=4,'Matriz Riesgo'!K26=3)," "&amp;'Matriz Riesgo'!A26&amp;","," "),IF(AND('Matriz Riesgo'!H27=4,'Matriz Riesgo'!K27=3)," "&amp;'Matriz Riesgo'!A27," "))</f>
        <v xml:space="preserve">              14,       </v>
      </c>
      <c r="H5" s="63" t="str">
        <f>CONCATENATE(IF(AND('Matriz Riesgo'!H7=4,'Matriz Riesgo'!K7=4)," "&amp;'Matriz Riesgo'!A7&amp;","," "),IF(AND('Matriz Riesgo'!H8=4,'Matriz Riesgo'!K8=4)," "&amp;'Matriz Riesgo'!A8&amp;","," "),IF(AND('Matriz Riesgo'!H9=4,'Matriz Riesgo'!K9=4)," "&amp;'Matriz Riesgo'!A9&amp;","," "),IF(AND('Matriz Riesgo'!H10=4,'Matriz Riesgo'!K10=4)," "&amp;'Matriz Riesgo'!A10&amp;","," "),IF(AND('Matriz Riesgo'!H11=4,'Matriz Riesgo'!K11=4)," "&amp;'Matriz Riesgo'!A11&amp;","," "),IF(AND('Matriz Riesgo'!H12=4,'Matriz Riesgo'!K12=4)," "&amp;'Matriz Riesgo'!A12&amp;","," "),IF(AND('Matriz Riesgo'!H13=4,'Matriz Riesgo'!K13=4)," "&amp;'Matriz Riesgo'!A13&amp;","," "),IF(AND('Matriz Riesgo'!H14=4,'Matriz Riesgo'!K14=4)," "&amp;'Matriz Riesgo'!A14&amp;","," "),IF(AND('Matriz Riesgo'!H15=4,'Matriz Riesgo'!K15=4)," "&amp;'Matriz Riesgo'!A15&amp;","," "),IF(AND('Matriz Riesgo'!H16=4,'Matriz Riesgo'!K16=4)," "&amp;'Matriz Riesgo'!A16&amp;","," "),IF(AND('Matriz Riesgo'!H17=4,'Matriz Riesgo'!K17=4)," "&amp;'Matriz Riesgo'!A17&amp;","," "),IF(AND('Matriz Riesgo'!H18=4,'Matriz Riesgo'!K18=4)," "&amp;'Matriz Riesgo'!A18&amp;","," "),IF(AND('Matriz Riesgo'!H19=4,'Matriz Riesgo'!K19=4)," "&amp;'Matriz Riesgo'!A19&amp;","," "),IF(AND('Matriz Riesgo'!H20=4,'Matriz Riesgo'!K20=4)," "&amp;'Matriz Riesgo'!A20&amp;","," "),IF(AND('Matriz Riesgo'!H21=4,'Matriz Riesgo'!K21=4)," "&amp;'Matriz Riesgo'!A21&amp;","," "),IF(AND('Matriz Riesgo'!H22=4,'Matriz Riesgo'!K22=4)," "&amp;'Matriz Riesgo'!A22&amp;","," "),IF(AND('Matriz Riesgo'!H23=4,'Matriz Riesgo'!K23=4)," "&amp;'Matriz Riesgo'!A23&amp;","," "),IF(AND('Matriz Riesgo'!H24=4,'Matriz Riesgo'!K24=4)," "&amp;'Matriz Riesgo'!A24&amp;","," "),IF(AND('Matriz Riesgo'!H25=4,'Matriz Riesgo'!K25=4)," "&amp;'Matriz Riesgo'!A25&amp;","," "),IF(AND('Matriz Riesgo'!H26=4,'Matriz Riesgo'!K26=4)," "&amp;'Matriz Riesgo'!A26&amp;","," "),IF(AND('Matriz Riesgo'!H27=4,'Matriz Riesgo'!K27=4)," "&amp;'Matriz Riesgo'!A27," "))</f>
        <v xml:space="preserve">             13,        </v>
      </c>
      <c r="I5" s="63" t="str">
        <f>CONCATENATE(IF(AND('Matriz Riesgo'!H7=4,'Matriz Riesgo'!K7=5)," "&amp;'Matriz Riesgo'!A7&amp;","," "),IF(AND('Matriz Riesgo'!H8=4,'Matriz Riesgo'!K8=5)," "&amp;'Matriz Riesgo'!A8&amp;","," "),IF(AND('Matriz Riesgo'!H9=4,'Matriz Riesgo'!K9=5)," "&amp;'Matriz Riesgo'!A9&amp;","," "),IF(AND('Matriz Riesgo'!H10=4,'Matriz Riesgo'!K10=5)," "&amp;'Matriz Riesgo'!A10&amp;","," "),IF(AND('Matriz Riesgo'!H11=4,'Matriz Riesgo'!K11=5)," "&amp;'Matriz Riesgo'!A11&amp;","," "),IF(AND('Matriz Riesgo'!H12=4,'Matriz Riesgo'!K12=5)," "&amp;'Matriz Riesgo'!A12&amp;","," "),IF(AND('Matriz Riesgo'!H13=4,'Matriz Riesgo'!K13=5)," "&amp;'Matriz Riesgo'!A13&amp;","," "),IF(AND('Matriz Riesgo'!H14=4,'Matriz Riesgo'!K14=5)," "&amp;'Matriz Riesgo'!A14&amp;","," "),IF(AND('Matriz Riesgo'!H15=4,'Matriz Riesgo'!K15=5)," "&amp;'Matriz Riesgo'!A15&amp;","," "),IF(AND('Matriz Riesgo'!H16=4,'Matriz Riesgo'!K16=5)," "&amp;'Matriz Riesgo'!A16&amp;","," "),IF(AND('Matriz Riesgo'!H17=4,'Matriz Riesgo'!K17=5)," "&amp;'Matriz Riesgo'!A17&amp;","," "),IF(AND('Matriz Riesgo'!H18=4,'Matriz Riesgo'!K18=5)," "&amp;'Matriz Riesgo'!A18&amp;","," "),IF(AND('Matriz Riesgo'!H19=4,'Matriz Riesgo'!K19=5)," "&amp;'Matriz Riesgo'!A19&amp;","," "),IF(AND('Matriz Riesgo'!H20=4,'Matriz Riesgo'!K20=5)," "&amp;'Matriz Riesgo'!A20&amp;","," "),IF(AND('Matriz Riesgo'!H21=4,'Matriz Riesgo'!K21=5)," "&amp;'Matriz Riesgo'!A21&amp;","," "),IF(AND('Matriz Riesgo'!H22=4,'Matriz Riesgo'!K22=5)," "&amp;'Matriz Riesgo'!A22&amp;","," "),IF(AND('Matriz Riesgo'!H23=4,'Matriz Riesgo'!K23=5)," "&amp;'Matriz Riesgo'!A23&amp;","," "),IF(AND('Matriz Riesgo'!H24=4,'Matriz Riesgo'!K24=5)," "&amp;'Matriz Riesgo'!A24&amp;","," "),IF(AND('Matriz Riesgo'!H25=4,'Matriz Riesgo'!K25=5)," "&amp;'Matriz Riesgo'!A25&amp;","," "),IF(AND('Matriz Riesgo'!H26=4,'Matriz Riesgo'!K26=5)," "&amp;'Matriz Riesgo'!A26&amp;","," "),IF(AND('Matriz Riesgo'!H27=4,'Matriz Riesgo'!K27=5)," "&amp;'Matriz Riesgo'!A27," "))</f>
        <v xml:space="preserve">                     </v>
      </c>
      <c r="K5" t="s">
        <v>97</v>
      </c>
      <c r="L5" t="s">
        <v>98</v>
      </c>
    </row>
    <row r="6" spans="2:23" ht="21" customHeight="1" thickBot="1" x14ac:dyDescent="0.35">
      <c r="B6" s="52">
        <v>3</v>
      </c>
      <c r="C6" s="129"/>
      <c r="D6" s="21" t="s">
        <v>38</v>
      </c>
      <c r="E6" s="61" t="str">
        <f>CONCATENATE(IF(AND('Matriz Riesgo'!H6=3,'Matriz Riesgo'!K6=1)," "&amp;'Matriz Riesgo'!A6&amp;","," "),IF(AND('Matriz Riesgo'!H7=3,'Matriz Riesgo'!K7=1)," "&amp;'Matriz Riesgo'!A7&amp;","," "),IF(AND('Matriz Riesgo'!H8=3,'Matriz Riesgo'!K8=1)," "&amp;'Matriz Riesgo'!A8&amp;","," "),IF(AND('Matriz Riesgo'!H9=3,'Matriz Riesgo'!K9=1)," "&amp;'Matriz Riesgo'!A9&amp;","," "),IF(AND('Matriz Riesgo'!H10=3,'Matriz Riesgo'!K10=1)," "&amp;'Matriz Riesgo'!A10&amp;","," "),IF(AND('Matriz Riesgo'!H11=3,'Matriz Riesgo'!K11=1)," "&amp;'Matriz Riesgo'!A11&amp;","," "),IF(AND('Matriz Riesgo'!H12=3,'Matriz Riesgo'!K12=1)," "&amp;'Matriz Riesgo'!A12&amp;","," "),IF(AND('Matriz Riesgo'!H13=3,'Matriz Riesgo'!K13=1)," "&amp;'Matriz Riesgo'!A13&amp;","," "),IF(AND('Matriz Riesgo'!H14=3,'Matriz Riesgo'!K14=1)," "&amp;'Matriz Riesgo'!A14&amp;","," "),IF(AND('Matriz Riesgo'!H15=3,'Matriz Riesgo'!K15=1)," "&amp;'Matriz Riesgo'!A15&amp;","," "),IF(AND('Matriz Riesgo'!H16=3,'Matriz Riesgo'!K16=1)," "&amp;'Matriz Riesgo'!A16&amp;","," "),IF(AND('Matriz Riesgo'!H17=3,'Matriz Riesgo'!K17=1)," "&amp;'Matriz Riesgo'!A17&amp;","," "),IF(AND('Matriz Riesgo'!H18=3,'Matriz Riesgo'!K18=1)," "&amp;'Matriz Riesgo'!A18&amp;","," "),IF(AND('Matriz Riesgo'!H19=3,'Matriz Riesgo'!K19=1)," "&amp;'Matriz Riesgo'!A19&amp;","," "),IF(AND('Matriz Riesgo'!H20=3,'Matriz Riesgo'!K20=1)," "&amp;'Matriz Riesgo'!A20&amp;","," "),IF(AND('Matriz Riesgo'!H21=3,'Matriz Riesgo'!K21=1)," "&amp;'Matriz Riesgo'!A21&amp;","," "),IF(AND('Matriz Riesgo'!H22=3,'Matriz Riesgo'!K22=1)," "&amp;'Matriz Riesgo'!A22&amp;","," "),IF(AND('Matriz Riesgo'!H23=3,'Matriz Riesgo'!K23=1)," "&amp;'Matriz Riesgo'!A23&amp;","," "),IF(AND('Matriz Riesgo'!H24=3,'Matriz Riesgo'!K24=1)," "&amp;'Matriz Riesgo'!A24&amp;","," "),IF(AND('Matriz Riesgo'!H25=3,'Matriz Riesgo'!K25=1)," "&amp;'Matriz Riesgo'!A25&amp;","," "),IF(AND('Matriz Riesgo'!H26=3,'Matriz Riesgo'!K26=1)," "&amp;'Matriz Riesgo'!A26," "))</f>
        <v xml:space="preserve">        7,             </v>
      </c>
      <c r="F6" s="60" t="str">
        <f>CONCATENATE(IF(AND('Matriz Riesgo'!H7=3,'Matriz Riesgo'!K7=2)," "&amp;'Matriz Riesgo'!A7&amp;","," "),IF(AND('Matriz Riesgo'!H8=3,'Matriz Riesgo'!K8=2)," "&amp;'Matriz Riesgo'!A8&amp;","," "),IF(AND('Matriz Riesgo'!H9=3,'Matriz Riesgo'!K9=2)," "&amp;'Matriz Riesgo'!A9&amp;","," "),IF(AND('Matriz Riesgo'!H10=3,'Matriz Riesgo'!K10=2)," "&amp;'Matriz Riesgo'!A10&amp;","," "),IF(AND('Matriz Riesgo'!H11=3,'Matriz Riesgo'!K11=2)," "&amp;'Matriz Riesgo'!A11&amp;","," "),IF(AND('Matriz Riesgo'!H12=3,'Matriz Riesgo'!K12=2)," "&amp;'Matriz Riesgo'!A12&amp;","," "),IF(AND('Matriz Riesgo'!H13=3,'Matriz Riesgo'!K13=2)," "&amp;'Matriz Riesgo'!A13&amp;","," "),IF(AND('Matriz Riesgo'!H14=3,'Matriz Riesgo'!K14=2)," "&amp;'Matriz Riesgo'!A14&amp;","," "),IF(AND('Matriz Riesgo'!H15=3,'Matriz Riesgo'!K15=2)," "&amp;'Matriz Riesgo'!A15&amp;","," "),IF(AND('Matriz Riesgo'!H16=3,'Matriz Riesgo'!K16=2)," "&amp;'Matriz Riesgo'!A16&amp;","," "),IF(AND('Matriz Riesgo'!H17=3,'Matriz Riesgo'!K17=2)," "&amp;'Matriz Riesgo'!A17&amp;","," "),IF(AND('Matriz Riesgo'!H18=3,'Matriz Riesgo'!K18=2)," "&amp;'Matriz Riesgo'!A18&amp;","," "),IF(AND('Matriz Riesgo'!H19=3,'Matriz Riesgo'!K19=2)," "&amp;'Matriz Riesgo'!A19&amp;","," "),IF(AND('Matriz Riesgo'!H20=3,'Matriz Riesgo'!K20=2)," "&amp;'Matriz Riesgo'!A20&amp;","," "),IF(AND('Matriz Riesgo'!H21=3,'Matriz Riesgo'!K21=2)," "&amp;'Matriz Riesgo'!A21&amp;","," "),IF(AND('Matriz Riesgo'!H22=3,'Matriz Riesgo'!K22=2)," "&amp;'Matriz Riesgo'!A22&amp;","," "),IF(AND('Matriz Riesgo'!H23=3,'Matriz Riesgo'!K23=2)," "&amp;'Matriz Riesgo'!A23&amp;","," "),IF(AND('Matriz Riesgo'!H24=3,'Matriz Riesgo'!K24=2)," "&amp;'Matriz Riesgo'!A24&amp;","," "),IF(AND('Matriz Riesgo'!H25=3,'Matriz Riesgo'!K25=2)," "&amp;'Matriz Riesgo'!A25&amp;","," "),IF(AND('Matriz Riesgo'!H26=3,'Matriz Riesgo'!K26=2)," "&amp;'Matriz Riesgo'!A26&amp;","," "),IF(AND('Matriz Riesgo'!H27=3,'Matriz Riesgo'!K27=2)," "&amp;'Matriz Riesgo'!A27," "))</f>
        <v xml:space="preserve">        8,  10,           </v>
      </c>
      <c r="G6" s="62" t="str">
        <f>CONCATENATE(IF(AND('Matriz Riesgo'!H7=3,'Matriz Riesgo'!K7=3)," "&amp;'Matriz Riesgo'!A7&amp;","," "),IF(AND('Matriz Riesgo'!H8=3,'Matriz Riesgo'!K8=3)," "&amp;'Matriz Riesgo'!A8&amp;","," "),IF(AND('Matriz Riesgo'!H9=3,'Matriz Riesgo'!K9=3)," "&amp;'Matriz Riesgo'!A9&amp;","," "),IF(AND('Matriz Riesgo'!H10=3,'Matriz Riesgo'!K10=3)," "&amp;'Matriz Riesgo'!A10&amp;","," "),IF(AND('Matriz Riesgo'!H11=3,'Matriz Riesgo'!K11=3)," "&amp;'Matriz Riesgo'!A11&amp;","," "),IF(AND('Matriz Riesgo'!H12=3,'Matriz Riesgo'!K12=3)," "&amp;'Matriz Riesgo'!A12&amp;","," "),IF(AND('Matriz Riesgo'!H13=3,'Matriz Riesgo'!K13=3)," "&amp;'Matriz Riesgo'!A13&amp;","," "),IF(AND('Matriz Riesgo'!H14=3,'Matriz Riesgo'!K14=3)," "&amp;'Matriz Riesgo'!A14&amp;","," "),IF(AND('Matriz Riesgo'!H15=3,'Matriz Riesgo'!K15=3)," "&amp;'Matriz Riesgo'!A15&amp;","," "),IF(AND('Matriz Riesgo'!H16=3,'Matriz Riesgo'!K16=3)," "&amp;'Matriz Riesgo'!A16&amp;","," "),IF(AND('Matriz Riesgo'!H17=3,'Matriz Riesgo'!K17=3)," "&amp;'Matriz Riesgo'!A17&amp;","," "),IF(AND('Matriz Riesgo'!H18=3,'Matriz Riesgo'!K18=3)," "&amp;'Matriz Riesgo'!A18&amp;","," "),IF(AND('Matriz Riesgo'!H19=3,'Matriz Riesgo'!K19=3)," "&amp;'Matriz Riesgo'!A19&amp;","," "),IF(AND('Matriz Riesgo'!H20=3,'Matriz Riesgo'!K20=3)," "&amp;'Matriz Riesgo'!A20&amp;","," "),IF(AND('Matriz Riesgo'!H21=3,'Matriz Riesgo'!K21=3)," "&amp;'Matriz Riesgo'!A21&amp;","," "),IF(AND('Matriz Riesgo'!H22=3,'Matriz Riesgo'!K22=3)," "&amp;'Matriz Riesgo'!A22&amp;","," "),IF(AND('Matriz Riesgo'!H23=3,'Matriz Riesgo'!K23=3)," "&amp;'Matriz Riesgo'!A23&amp;","," "),IF(AND('Matriz Riesgo'!H24=3,'Matriz Riesgo'!K24=3)," "&amp;'Matriz Riesgo'!A24&amp;","," "),IF(AND('Matriz Riesgo'!H25=3,'Matriz Riesgo'!K25=3)," "&amp;'Matriz Riesgo'!A25&amp;","," "),IF(AND('Matriz Riesgo'!H26=3,'Matriz Riesgo'!K26=3)," "&amp;'Matriz Riesgo'!A26&amp;","," "),IF(AND('Matriz Riesgo'!H27=3,'Matriz Riesgo'!K27=3)," "&amp;'Matriz Riesgo'!A27," "))</f>
        <v xml:space="preserve">  2, 3,  5,            17,    </v>
      </c>
      <c r="H6" s="59" t="str">
        <f>CONCATENATE(IF(AND('Matriz Riesgo'!H7=3,'Matriz Riesgo'!K7=4)," "&amp;'Matriz Riesgo'!A7&amp;","," "),IF(AND('Matriz Riesgo'!H8=3,'Matriz Riesgo'!K8=4)," "&amp;'Matriz Riesgo'!A8&amp;","," "),IF(AND('Matriz Riesgo'!H9=3,'Matriz Riesgo'!K9=4)," "&amp;'Matriz Riesgo'!A9&amp;","," "),IF(AND('Matriz Riesgo'!H10=3,'Matriz Riesgo'!K10=4)," "&amp;'Matriz Riesgo'!A10&amp;","," "),IF(AND('Matriz Riesgo'!H11=3,'Matriz Riesgo'!K11=4)," "&amp;'Matriz Riesgo'!A11&amp;","," "),IF(AND('Matriz Riesgo'!H12=3,'Matriz Riesgo'!K12=4)," "&amp;'Matriz Riesgo'!A12&amp;","," "),IF(AND('Matriz Riesgo'!H13=3,'Matriz Riesgo'!K13=4)," "&amp;'Matriz Riesgo'!A13&amp;","," "),IF(AND('Matriz Riesgo'!H14=3,'Matriz Riesgo'!K14=4)," "&amp;'Matriz Riesgo'!A14&amp;","," "),IF(AND('Matriz Riesgo'!H15=3,'Matriz Riesgo'!K15=4)," "&amp;'Matriz Riesgo'!A15&amp;","," "),IF(AND('Matriz Riesgo'!H16=3,'Matriz Riesgo'!K16=4)," "&amp;'Matriz Riesgo'!A16&amp;","," "),IF(AND('Matriz Riesgo'!H17=3,'Matriz Riesgo'!K17=4)," "&amp;'Matriz Riesgo'!A17&amp;","," "),IF(AND('Matriz Riesgo'!H18=3,'Matriz Riesgo'!K18=4)," "&amp;'Matriz Riesgo'!A18&amp;","," "),IF(AND('Matriz Riesgo'!H19=3,'Matriz Riesgo'!K19=4)," "&amp;'Matriz Riesgo'!A19&amp;","," "),IF(AND('Matriz Riesgo'!H20=3,'Matriz Riesgo'!K20=4)," "&amp;'Matriz Riesgo'!A20&amp;","," "),IF(AND('Matriz Riesgo'!H21=3,'Matriz Riesgo'!K21=4)," "&amp;'Matriz Riesgo'!A21&amp;","," "),IF(AND('Matriz Riesgo'!H22=3,'Matriz Riesgo'!K22=4)," "&amp;'Matriz Riesgo'!A22&amp;","," "),IF(AND('Matriz Riesgo'!H23=3,'Matriz Riesgo'!K23=4)," "&amp;'Matriz Riesgo'!A23&amp;","," "),IF(AND('Matriz Riesgo'!H24=3,'Matriz Riesgo'!K24=4)," "&amp;'Matriz Riesgo'!A24&amp;","," "),IF(AND('Matriz Riesgo'!H25=3,'Matriz Riesgo'!K25=4)," "&amp;'Matriz Riesgo'!A25&amp;","," "),IF(AND('Matriz Riesgo'!H26=3,'Matriz Riesgo'!K26=4)," "&amp;'Matriz Riesgo'!A26&amp;","," "),IF(AND('Matriz Riesgo'!H27=3,'Matriz Riesgo'!K27=4)," "&amp;'Matriz Riesgo'!A27," "))</f>
        <v xml:space="preserve"> 1,                    </v>
      </c>
      <c r="I6" s="75" t="str">
        <f>CONCATENATE(IF(AND('Matriz Riesgo'!H7=3,'Matriz Riesgo'!K7=5)," "&amp;'Matriz Riesgo'!A7&amp;","," "),IF(AND('Matriz Riesgo'!H8=3,'Matriz Riesgo'!K8=5)," "&amp;'Matriz Riesgo'!A8&amp;","," "),IF(AND('Matriz Riesgo'!H9=3,'Matriz Riesgo'!K9=5)," "&amp;'Matriz Riesgo'!A9&amp;","," "),IF(AND('Matriz Riesgo'!H10=3,'Matriz Riesgo'!K10=5)," "&amp;'Matriz Riesgo'!A10&amp;","," "),IF(AND('Matriz Riesgo'!H11=3,'Matriz Riesgo'!K11=5)," "&amp;'Matriz Riesgo'!A11&amp;","," "),IF(AND('Matriz Riesgo'!H12=3,'Matriz Riesgo'!K12=5)," "&amp;'Matriz Riesgo'!A12&amp;","," "),IF(AND('Matriz Riesgo'!H13=3,'Matriz Riesgo'!K13=5)," "&amp;'Matriz Riesgo'!A13&amp;","," "),IF(AND('Matriz Riesgo'!H14=3,'Matriz Riesgo'!K14=5)," "&amp;'Matriz Riesgo'!A14&amp;","," "),IF(AND('Matriz Riesgo'!H15=3,'Matriz Riesgo'!K15=5)," "&amp;'Matriz Riesgo'!A15&amp;","," "),IF(AND('Matriz Riesgo'!H16=3,'Matriz Riesgo'!K16=5)," "&amp;'Matriz Riesgo'!A16&amp;","," "),IF(AND('Matriz Riesgo'!H17=3,'Matriz Riesgo'!K17=5)," "&amp;'Matriz Riesgo'!A17&amp;","," "),IF(AND('Matriz Riesgo'!H18=3,'Matriz Riesgo'!K18=5)," "&amp;'Matriz Riesgo'!A18&amp;","," "),IF(AND('Matriz Riesgo'!H19=3,'Matriz Riesgo'!K19=5)," "&amp;'Matriz Riesgo'!A19&amp;","," "),IF(AND('Matriz Riesgo'!H20=3,'Matriz Riesgo'!K20=5)," "&amp;'Matriz Riesgo'!A20&amp;","," "),IF(AND('Matriz Riesgo'!H21=3,'Matriz Riesgo'!K21=5)," "&amp;'Matriz Riesgo'!A21&amp;","," "),IF(AND('Matriz Riesgo'!H22=3,'Matriz Riesgo'!K22=5)," "&amp;'Matriz Riesgo'!A22&amp;","," "),IF(AND('Matriz Riesgo'!H23=3,'Matriz Riesgo'!K23=5)," "&amp;'Matriz Riesgo'!A23&amp;","," "),IF(AND('Matriz Riesgo'!H24=3,'Matriz Riesgo'!K24=5)," "&amp;'Matriz Riesgo'!A24&amp;","," "),IF(AND('Matriz Riesgo'!H25=3,'Matriz Riesgo'!K25=5)," "&amp;'Matriz Riesgo'!A25&amp;","," "),IF(AND('Matriz Riesgo'!H26=3,'Matriz Riesgo'!K26=5)," "&amp;'Matriz Riesgo'!A26&amp;","," "),IF(AND('Matriz Riesgo'!H27=3,'Matriz Riesgo'!K27=5)," "&amp;'Matriz Riesgo'!A27," "))</f>
        <v xml:space="preserve">                     </v>
      </c>
      <c r="K6" t="s">
        <v>100</v>
      </c>
    </row>
    <row r="7" spans="2:23" ht="21" customHeight="1" thickBot="1" x14ac:dyDescent="0.35">
      <c r="B7" s="52">
        <v>2</v>
      </c>
      <c r="C7" s="129"/>
      <c r="D7" s="21" t="s">
        <v>39</v>
      </c>
      <c r="E7" s="64" t="str">
        <f>CONCATENATE(IF(AND('Matriz Riesgo'!H7=2,'Matriz Riesgo'!K7=1)," "&amp;'Matriz Riesgo'!A7&amp;","," "),IF(AND('Matriz Riesgo'!H8=2,'Matriz Riesgo'!K8=1)," "&amp;'Matriz Riesgo'!A8&amp;","," "),IF(AND('Matriz Riesgo'!H9=2,'Matriz Riesgo'!K9=1)," "&amp;'Matriz Riesgo'!A9&amp;","," "),IF(AND('Matriz Riesgo'!H10=2,'Matriz Riesgo'!K10=1)," "&amp;'Matriz Riesgo'!A10&amp;","," "),IF(AND('Matriz Riesgo'!H11=2,'Matriz Riesgo'!K11=1)," "&amp;'Matriz Riesgo'!A11&amp;","," "),IF(AND('Matriz Riesgo'!H12=2,'Matriz Riesgo'!K12=1)," "&amp;'Matriz Riesgo'!A12&amp;","," "),IF(AND('Matriz Riesgo'!H13=2,'Matriz Riesgo'!K13=1)," "&amp;'Matriz Riesgo'!A13&amp;","," "),IF(AND('Matriz Riesgo'!H14=2,'Matriz Riesgo'!K14=1)," "&amp;'Matriz Riesgo'!A14&amp;","," "),IF(AND('Matriz Riesgo'!H15=2,'Matriz Riesgo'!K15=1)," "&amp;'Matriz Riesgo'!A15&amp;","," "),IF(AND('Matriz Riesgo'!H16=2,'Matriz Riesgo'!K16=1)," "&amp;'Matriz Riesgo'!A16&amp;","," "),IF(AND('Matriz Riesgo'!H17=2,'Matriz Riesgo'!K17=1)," "&amp;'Matriz Riesgo'!A17&amp;","," "),IF(AND('Matriz Riesgo'!H18=2,'Matriz Riesgo'!K18=1)," "&amp;'Matriz Riesgo'!A18&amp;","," "),IF(AND('Matriz Riesgo'!H19=2,'Matriz Riesgo'!K19=1)," "&amp;'Matriz Riesgo'!A19&amp;","," "),IF(AND('Matriz Riesgo'!H20=2,'Matriz Riesgo'!K20=1)," "&amp;'Matriz Riesgo'!A20&amp;","," "),IF(AND('Matriz Riesgo'!H21=2,'Matriz Riesgo'!K21=1)," "&amp;'Matriz Riesgo'!A21&amp;","," "),IF(AND('Matriz Riesgo'!H22=2,'Matriz Riesgo'!K22=1)," "&amp;'Matriz Riesgo'!A22&amp;","," "),IF(AND('Matriz Riesgo'!H23=2,'Matriz Riesgo'!K23=1)," "&amp;'Matriz Riesgo'!A23&amp;","," "),IF(AND('Matriz Riesgo'!H24=2,'Matriz Riesgo'!K24=1)," "&amp;'Matriz Riesgo'!A24&amp;","," "),IF(AND('Matriz Riesgo'!H25=2,'Matriz Riesgo'!K25=1)," "&amp;'Matriz Riesgo'!A25&amp;","," "),IF(AND('Matriz Riesgo'!H26=2,'Matriz Riesgo'!K26=1)," "&amp;'Matriz Riesgo'!A26&amp;","," "),IF(AND('Matriz Riesgo'!H27=2,'Matriz Riesgo'!K27=1)," "&amp;'Matriz Riesgo'!A27," "))</f>
        <v xml:space="preserve">                     </v>
      </c>
      <c r="F7" s="61" t="str">
        <f>CONCATENATE(IF(AND('Matriz Riesgo'!H7=2,'Matriz Riesgo'!K7=2)," "&amp;'Matriz Riesgo'!A7&amp;","," "),IF(AND('Matriz Riesgo'!H8=2,'Matriz Riesgo'!K8=2)," "&amp;'Matriz Riesgo'!A8&amp;","," "),IF(AND('Matriz Riesgo'!H9=2,'Matriz Riesgo'!K9=2)," "&amp;'Matriz Riesgo'!A9&amp;","," "),IF(AND('Matriz Riesgo'!H10=2,'Matriz Riesgo'!K10=2)," "&amp;'Matriz Riesgo'!A10&amp;","," "),IF(AND('Matriz Riesgo'!H11=2,'Matriz Riesgo'!K11=2)," "&amp;'Matriz Riesgo'!A11&amp;","," "),IF(AND('Matriz Riesgo'!H12=2,'Matriz Riesgo'!K12=2)," "&amp;'Matriz Riesgo'!A12&amp;","," "),IF(AND('Matriz Riesgo'!H13=2,'Matriz Riesgo'!K13=2)," "&amp;'Matriz Riesgo'!A13&amp;","," "),IF(AND('Matriz Riesgo'!H14=2,'Matriz Riesgo'!K14=2)," "&amp;'Matriz Riesgo'!A14&amp;","," "),IF(AND('Matriz Riesgo'!H15=2,'Matriz Riesgo'!K15=2)," "&amp;'Matriz Riesgo'!A15&amp;","," "),IF(AND('Matriz Riesgo'!H16=2,'Matriz Riesgo'!K16=2)," "&amp;'Matriz Riesgo'!A16&amp;","," "),IF(AND('Matriz Riesgo'!H17=2,'Matriz Riesgo'!K17=2)," "&amp;'Matriz Riesgo'!A17&amp;","," "),IF(AND('Matriz Riesgo'!H18=2,'Matriz Riesgo'!K18=2)," "&amp;'Matriz Riesgo'!A18&amp;","," "),IF(AND('Matriz Riesgo'!H19=2,'Matriz Riesgo'!K19=2)," "&amp;'Matriz Riesgo'!A19&amp;","," "),IF(AND('Matriz Riesgo'!H20=2,'Matriz Riesgo'!K20=2)," "&amp;'Matriz Riesgo'!A20&amp;","," "),IF(AND('Matriz Riesgo'!H21=2,'Matriz Riesgo'!K21=2)," "&amp;'Matriz Riesgo'!A21&amp;","," "),IF(AND('Matriz Riesgo'!H22=2,'Matriz Riesgo'!K22=2)," "&amp;'Matriz Riesgo'!A22&amp;","," "),IF(AND('Matriz Riesgo'!H23=2,'Matriz Riesgo'!K23=2)," "&amp;'Matriz Riesgo'!A23&amp;","," "),IF(AND('Matriz Riesgo'!H24=2,'Matriz Riesgo'!K24=2)," "&amp;'Matriz Riesgo'!A24&amp;","," "),IF(AND('Matriz Riesgo'!H25=2,'Matriz Riesgo'!K25=2)," "&amp;'Matriz Riesgo'!A25&amp;","," "),IF(AND('Matriz Riesgo'!H26=2,'Matriz Riesgo'!K26=2)," "&amp;'Matriz Riesgo'!A26&amp;","," "),IF(AND('Matriz Riesgo'!H27=2,'Matriz Riesgo'!K27=2)," "&amp;'Matriz Riesgo'!A27," "))</f>
        <v xml:space="preserve">                     </v>
      </c>
      <c r="G7" s="62" t="str">
        <f>CONCATENATE(IF(AND('Matriz Riesgo'!H7=2,'Matriz Riesgo'!K7=3)," "&amp;'Matriz Riesgo'!A7&amp;","," "),IF(AND('Matriz Riesgo'!H8=2,'Matriz Riesgo'!K8=3)," "&amp;'Matriz Riesgo'!A8&amp;","," "),IF(AND('Matriz Riesgo'!H9=2,'Matriz Riesgo'!K9=3)," "&amp;'Matriz Riesgo'!A9&amp;","," "),IF(AND('Matriz Riesgo'!H10=2,'Matriz Riesgo'!K10=3)," "&amp;'Matriz Riesgo'!A10&amp;","," "),IF(AND('Matriz Riesgo'!H11=2,'Matriz Riesgo'!K11=3)," "&amp;'Matriz Riesgo'!A11&amp;","," "),IF(AND('Matriz Riesgo'!H12=2,'Matriz Riesgo'!K12=3)," "&amp;'Matriz Riesgo'!A12&amp;","," "),IF(AND('Matriz Riesgo'!H13=2,'Matriz Riesgo'!K13=3)," "&amp;'Matriz Riesgo'!A13&amp;","," "),IF(AND('Matriz Riesgo'!H14=2,'Matriz Riesgo'!K14=3)," "&amp;'Matriz Riesgo'!A14&amp;","," "),IF(AND('Matriz Riesgo'!H15=2,'Matriz Riesgo'!K15=3)," "&amp;'Matriz Riesgo'!A15&amp;","," "),IF(AND('Matriz Riesgo'!H16=2,'Matriz Riesgo'!K16=3)," "&amp;'Matriz Riesgo'!A16&amp;","," "),IF(AND('Matriz Riesgo'!H17=2,'Matriz Riesgo'!K17=3)," "&amp;'Matriz Riesgo'!A17&amp;","," "),IF(AND('Matriz Riesgo'!H18=2,'Matriz Riesgo'!K18=3)," "&amp;'Matriz Riesgo'!A18&amp;","," "),IF(AND('Matriz Riesgo'!H19=2,'Matriz Riesgo'!K19=3)," "&amp;'Matriz Riesgo'!A19&amp;","," "),IF(AND('Matriz Riesgo'!H20=2,'Matriz Riesgo'!K20=3)," "&amp;'Matriz Riesgo'!A20&amp;","," "),IF(AND('Matriz Riesgo'!H21=2,'Matriz Riesgo'!K21=3)," "&amp;'Matriz Riesgo'!A21&amp;","," "),IF(AND('Matriz Riesgo'!H22=2,'Matriz Riesgo'!K22=3)," "&amp;'Matriz Riesgo'!A22&amp;","," "),IF(AND('Matriz Riesgo'!H23=2,'Matriz Riesgo'!K23=3)," "&amp;'Matriz Riesgo'!A23&amp;","," "),IF(AND('Matriz Riesgo'!H24=2,'Matriz Riesgo'!K24=3)," "&amp;'Matriz Riesgo'!A24&amp;","," "),IF(AND('Matriz Riesgo'!H25=2,'Matriz Riesgo'!K25=3)," "&amp;'Matriz Riesgo'!A25&amp;","," "),IF(AND('Matriz Riesgo'!H26=2,'Matriz Riesgo'!K26=3)," "&amp;'Matriz Riesgo'!A26&amp;","," "),IF(AND('Matriz Riesgo'!H27=2,'Matriz Riesgo'!K27=3)," "&amp;'Matriz Riesgo'!A27," "))</f>
        <v xml:space="preserve">      6,     11,          </v>
      </c>
      <c r="H7" s="62" t="str">
        <f>CONCATENATE(IF(AND('Matriz Riesgo'!H7=2,'Matriz Riesgo'!K7=4)," "&amp;'Matriz Riesgo'!A7&amp;","," "),IF(AND('Matriz Riesgo'!H8=2,'Matriz Riesgo'!K8=4)," "&amp;'Matriz Riesgo'!A8&amp;","," "),IF(AND('Matriz Riesgo'!H9=2,'Matriz Riesgo'!K9=4)," "&amp;'Matriz Riesgo'!A9&amp;","," "),IF(AND('Matriz Riesgo'!H10=2,'Matriz Riesgo'!K10=4)," "&amp;'Matriz Riesgo'!A10&amp;","," "),IF(AND('Matriz Riesgo'!H11=2,'Matriz Riesgo'!K11=4)," "&amp;'Matriz Riesgo'!A11&amp;","," "),IF(AND('Matriz Riesgo'!H12=2,'Matriz Riesgo'!K12=4)," "&amp;'Matriz Riesgo'!A12&amp;","," "),IF(AND('Matriz Riesgo'!H13=2,'Matriz Riesgo'!K13=4)," "&amp;'Matriz Riesgo'!A13&amp;","," "),IF(AND('Matriz Riesgo'!H14=2,'Matriz Riesgo'!K14=4)," "&amp;'Matriz Riesgo'!A14&amp;","," "),IF(AND('Matriz Riesgo'!H15=2,'Matriz Riesgo'!K15=4)," "&amp;'Matriz Riesgo'!A15&amp;","," "),IF(AND('Matriz Riesgo'!H16=2,'Matriz Riesgo'!K16=4)," "&amp;'Matriz Riesgo'!A16&amp;","," "),IF(AND('Matriz Riesgo'!H17=2,'Matriz Riesgo'!K17=4)," "&amp;'Matriz Riesgo'!A17&amp;","," "),IF(AND('Matriz Riesgo'!H18=2,'Matriz Riesgo'!K18=4)," "&amp;'Matriz Riesgo'!A18&amp;","," "),IF(AND('Matriz Riesgo'!H19=2,'Matriz Riesgo'!K19=4)," "&amp;'Matriz Riesgo'!A19&amp;","," "),IF(AND('Matriz Riesgo'!H20=2,'Matriz Riesgo'!K20=4)," "&amp;'Matriz Riesgo'!A20&amp;","," "),IF(AND('Matriz Riesgo'!H21=2,'Matriz Riesgo'!K21=4)," "&amp;'Matriz Riesgo'!A21&amp;","," "),IF(AND('Matriz Riesgo'!H22=2,'Matriz Riesgo'!K22=4)," "&amp;'Matriz Riesgo'!A22&amp;","," "),IF(AND('Matriz Riesgo'!H23=2,'Matriz Riesgo'!K23=4)," "&amp;'Matriz Riesgo'!A23&amp;","," "),IF(AND('Matriz Riesgo'!H24=2,'Matriz Riesgo'!K24=4)," "&amp;'Matriz Riesgo'!A24&amp;","," "),IF(AND('Matriz Riesgo'!H25=2,'Matriz Riesgo'!K25=4)," "&amp;'Matriz Riesgo'!A25&amp;","," "),IF(AND('Matriz Riesgo'!H26=2,'Matriz Riesgo'!K26=4)," "&amp;'Matriz Riesgo'!A26&amp;","," "),IF(AND('Matriz Riesgo'!H27=2,'Matriz Riesgo'!K27=4)," "&amp;'Matriz Riesgo'!A27," "))</f>
        <v xml:space="preserve">               15,      </v>
      </c>
      <c r="I7" s="75" t="str">
        <f>CONCATENATE(IF(AND('Matriz Riesgo'!H7=2,'Matriz Riesgo'!K7=5)," "&amp;'Matriz Riesgo'!A7&amp;","," "),IF(AND('Matriz Riesgo'!H8=2,'Matriz Riesgo'!K8=5)," "&amp;'Matriz Riesgo'!A8&amp;","," "),IF(AND('Matriz Riesgo'!H9=2,'Matriz Riesgo'!K9=5)," "&amp;'Matriz Riesgo'!A9&amp;","," "),IF(AND('Matriz Riesgo'!H10=2,'Matriz Riesgo'!K10=5)," "&amp;'Matriz Riesgo'!A10&amp;","," "),IF(AND('Matriz Riesgo'!H11=2,'Matriz Riesgo'!K11=5)," "&amp;'Matriz Riesgo'!A11&amp;","," "),IF(AND('Matriz Riesgo'!H12=2,'Matriz Riesgo'!K12=5)," "&amp;'Matriz Riesgo'!A12&amp;","," "),IF(AND('Matriz Riesgo'!H13=2,'Matriz Riesgo'!K13=5)," "&amp;'Matriz Riesgo'!A13&amp;","," "),IF(AND('Matriz Riesgo'!H14=2,'Matriz Riesgo'!K14=5)," "&amp;'Matriz Riesgo'!A14&amp;","," "),IF(AND('Matriz Riesgo'!H15=2,'Matriz Riesgo'!K15=5)," "&amp;'Matriz Riesgo'!A15&amp;","," "),IF(AND('Matriz Riesgo'!H16=2,'Matriz Riesgo'!K16=5)," "&amp;'Matriz Riesgo'!A16&amp;","," "),IF(AND('Matriz Riesgo'!H17=2,'Matriz Riesgo'!K17=5)," "&amp;'Matriz Riesgo'!A17&amp;","," "),IF(AND('Matriz Riesgo'!H18=2,'Matriz Riesgo'!K18=5)," "&amp;'Matriz Riesgo'!A18&amp;","," "),IF(AND('Matriz Riesgo'!H19=2,'Matriz Riesgo'!K19=5)," "&amp;'Matriz Riesgo'!A19&amp;","," "),IF(AND('Matriz Riesgo'!H20=2,'Matriz Riesgo'!K20=5)," "&amp;'Matriz Riesgo'!A20&amp;","," "),IF(AND('Matriz Riesgo'!H21=2,'Matriz Riesgo'!K21=5)," "&amp;'Matriz Riesgo'!A21&amp;","," "),IF(AND('Matriz Riesgo'!H22=2,'Matriz Riesgo'!K22=5)," "&amp;'Matriz Riesgo'!A22&amp;","," "),IF(AND('Matriz Riesgo'!H23=2,'Matriz Riesgo'!K23=5)," "&amp;'Matriz Riesgo'!A23&amp;","," "),IF(AND('Matriz Riesgo'!H24=2,'Matriz Riesgo'!K24=5)," "&amp;'Matriz Riesgo'!A24&amp;","," "),IF(AND('Matriz Riesgo'!H25=2,'Matriz Riesgo'!K25=5)," "&amp;'Matriz Riesgo'!A25&amp;","," "),IF(AND('Matriz Riesgo'!H26=2,'Matriz Riesgo'!K26=5)," "&amp;'Matriz Riesgo'!A26&amp;","," "),IF(AND('Matriz Riesgo'!H27=2,'Matriz Riesgo'!K27=5)," "&amp;'Matriz Riesgo'!A27," "))</f>
        <v xml:space="preserve">                     </v>
      </c>
      <c r="K7" t="s">
        <v>99</v>
      </c>
    </row>
    <row r="8" spans="2:23" ht="21" customHeight="1" thickBot="1" x14ac:dyDescent="0.35">
      <c r="B8" s="52">
        <v>1</v>
      </c>
      <c r="C8" s="130"/>
      <c r="D8" s="21" t="s">
        <v>40</v>
      </c>
      <c r="E8" s="64" t="str">
        <f>CONCATENATE(IF(AND('Matriz Riesgo'!H7=1,'Matriz Riesgo'!K7=1)," "&amp;'Matriz Riesgo'!A7&amp;","," "),IF(AND('Matriz Riesgo'!H8=1,'Matriz Riesgo'!K8=1)," "&amp;'Matriz Riesgo'!A8&amp;","," "),IF(AND('Matriz Riesgo'!H9=1,'Matriz Riesgo'!K9=1)," "&amp;'Matriz Riesgo'!A9&amp;","," "),IF(AND('Matriz Riesgo'!H10=1,'Matriz Riesgo'!K10=1)," "&amp;'Matriz Riesgo'!A10&amp;","," "),IF(AND('Matriz Riesgo'!H11=1,'Matriz Riesgo'!K11=1)," "&amp;'Matriz Riesgo'!A11&amp;","," "),IF(AND('Matriz Riesgo'!H12=1,'Matriz Riesgo'!K12=1)," "&amp;'Matriz Riesgo'!A12&amp;","," "),IF(AND('Matriz Riesgo'!H13=1,'Matriz Riesgo'!K13=1)," "&amp;'Matriz Riesgo'!A13&amp;","," "),IF(AND('Matriz Riesgo'!H14=1,'Matriz Riesgo'!K14=1)," "&amp;'Matriz Riesgo'!A14&amp;","," "),IF(AND('Matriz Riesgo'!H15=1,'Matriz Riesgo'!K15=1)," "&amp;'Matriz Riesgo'!A15&amp;","," "),IF(AND('Matriz Riesgo'!H16=1,'Matriz Riesgo'!K16=1)," "&amp;'Matriz Riesgo'!A16&amp;","," "),IF(AND('Matriz Riesgo'!H17=1,'Matriz Riesgo'!K17=1)," "&amp;'Matriz Riesgo'!A17&amp;","," "),IF(AND('Matriz Riesgo'!H18=1,'Matriz Riesgo'!K18=1)," "&amp;'Matriz Riesgo'!A18&amp;","," "),IF(AND('Matriz Riesgo'!H19=1,'Matriz Riesgo'!K19=1)," "&amp;'Matriz Riesgo'!A19&amp;","," "),IF(AND('Matriz Riesgo'!H20=1,'Matriz Riesgo'!K20=1)," "&amp;'Matriz Riesgo'!A20&amp;","," "),IF(AND('Matriz Riesgo'!H21=1,'Matriz Riesgo'!K21=1)," "&amp;'Matriz Riesgo'!A21&amp;","," "),IF(AND('Matriz Riesgo'!H22=1,'Matriz Riesgo'!K22=1)," "&amp;'Matriz Riesgo'!A22&amp;","," "),IF(AND('Matriz Riesgo'!H23=1,'Matriz Riesgo'!K23=1)," "&amp;'Matriz Riesgo'!A23&amp;","," "),IF(AND('Matriz Riesgo'!H24=1,'Matriz Riesgo'!K24=1)," "&amp;'Matriz Riesgo'!A24&amp;","," "),IF(AND('Matriz Riesgo'!H25=1,'Matriz Riesgo'!K25=1)," "&amp;'Matriz Riesgo'!A25&amp;","," "),IF(AND('Matriz Riesgo'!H26=1,'Matriz Riesgo'!K26=1)," "&amp;'Matriz Riesgo'!A26&amp;","," "),IF(AND('Matriz Riesgo'!H27=1,'Matriz Riesgo'!K27=1)," "&amp;'Matriz Riesgo'!A27," "))</f>
        <v xml:space="preserve">                     </v>
      </c>
      <c r="F8" s="64" t="str">
        <f>CONCATENATE(IF(AND('Matriz Riesgo'!H7=1,'Matriz Riesgo'!K7=2)," "&amp;'Matriz Riesgo'!A7&amp;","," "),IF(AND('Matriz Riesgo'!H8=1,'Matriz Riesgo'!K8=2)," "&amp;'Matriz Riesgo'!A8&amp;","," "),IF(AND('Matriz Riesgo'!H9=1,'Matriz Riesgo'!K9=2)," "&amp;'Matriz Riesgo'!A9&amp;","," "),IF(AND('Matriz Riesgo'!H10=1,'Matriz Riesgo'!K10=2)," "&amp;'Matriz Riesgo'!A10&amp;","," "),IF(AND('Matriz Riesgo'!H11=1,'Matriz Riesgo'!K11=2)," "&amp;'Matriz Riesgo'!A11&amp;","," "),IF(AND('Matriz Riesgo'!H12=1,'Matriz Riesgo'!K12=2)," "&amp;'Matriz Riesgo'!A12&amp;","," "),IF(AND('Matriz Riesgo'!H13=1,'Matriz Riesgo'!K13=2)," "&amp;'Matriz Riesgo'!A13&amp;","," "),IF(AND('Matriz Riesgo'!H14=1,'Matriz Riesgo'!K14=2)," "&amp;'Matriz Riesgo'!A14&amp;","," "),IF(AND('Matriz Riesgo'!H15=1,'Matriz Riesgo'!K15=2)," "&amp;'Matriz Riesgo'!A15&amp;","," "),IF(AND('Matriz Riesgo'!H16=1,'Matriz Riesgo'!K16=2)," "&amp;'Matriz Riesgo'!A16&amp;","," "),IF(AND('Matriz Riesgo'!H17=1,'Matriz Riesgo'!K17=2)," "&amp;'Matriz Riesgo'!A17&amp;","," "),IF(AND('Matriz Riesgo'!H18=1,'Matriz Riesgo'!K18=2)," "&amp;'Matriz Riesgo'!A18&amp;","," "),IF(AND('Matriz Riesgo'!H19=1,'Matriz Riesgo'!K19=2)," "&amp;'Matriz Riesgo'!A19&amp;","," "),IF(AND('Matriz Riesgo'!H20=1,'Matriz Riesgo'!K20=2)," "&amp;'Matriz Riesgo'!A20&amp;","," "),IF(AND('Matriz Riesgo'!H21=1,'Matriz Riesgo'!K21=2)," "&amp;'Matriz Riesgo'!A21&amp;","," "),IF(AND('Matriz Riesgo'!H22=1,'Matriz Riesgo'!K22=2)," "&amp;'Matriz Riesgo'!A22&amp;","," "),IF(AND('Matriz Riesgo'!H23=1,'Matriz Riesgo'!K23=2)," "&amp;'Matriz Riesgo'!A23&amp;","," "),IF(AND('Matriz Riesgo'!H24=1,'Matriz Riesgo'!K24=2)," "&amp;'Matriz Riesgo'!A24&amp;","," "),IF(AND('Matriz Riesgo'!H25=1,'Matriz Riesgo'!K25=2)," "&amp;'Matriz Riesgo'!A25&amp;","," "),IF(AND('Matriz Riesgo'!H26=1,'Matriz Riesgo'!K26=2)," "&amp;'Matriz Riesgo'!A26&amp;","," "),IF(AND('Matriz Riesgo'!H27=1,'Matriz Riesgo'!K27=2)," "&amp;'Matriz Riesgo'!A27," "))</f>
        <v xml:space="preserve">                     </v>
      </c>
      <c r="G8" s="61" t="str">
        <f>CONCATENATE(IF(AND('Matriz Riesgo'!H7=1,'Matriz Riesgo'!K7=3)," "&amp;'Matriz Riesgo'!A7&amp;","," "),IF(AND('Matriz Riesgo'!H8=1,'Matriz Riesgo'!K8=3)," "&amp;'Matriz Riesgo'!A8&amp;","," "),IF(AND('Matriz Riesgo'!H9=1,'Matriz Riesgo'!K9=3)," "&amp;'Matriz Riesgo'!A9&amp;","," "),IF(AND('Matriz Riesgo'!H10=1,'Matriz Riesgo'!K10=3)," "&amp;'Matriz Riesgo'!A10&amp;","," "),IF(AND('Matriz Riesgo'!H11=1,'Matriz Riesgo'!K11=3)," "&amp;'Matriz Riesgo'!A11&amp;","," "),IF(AND('Matriz Riesgo'!H12=1,'Matriz Riesgo'!K12=3)," "&amp;'Matriz Riesgo'!A12&amp;","," "),IF(AND('Matriz Riesgo'!H13=1,'Matriz Riesgo'!K13=3)," "&amp;'Matriz Riesgo'!A13&amp;","," "),IF(AND('Matriz Riesgo'!H14=1,'Matriz Riesgo'!K14=3)," "&amp;'Matriz Riesgo'!A14&amp;","," "),IF(AND('Matriz Riesgo'!H15=1,'Matriz Riesgo'!K15=3)," "&amp;'Matriz Riesgo'!A15&amp;","," "),IF(AND('Matriz Riesgo'!H16=1,'Matriz Riesgo'!K16=3)," "&amp;'Matriz Riesgo'!A16&amp;","," "),IF(AND('Matriz Riesgo'!H17=1,'Matriz Riesgo'!K17=3)," "&amp;'Matriz Riesgo'!A17&amp;","," "),IF(AND('Matriz Riesgo'!H18=1,'Matriz Riesgo'!K18=3)," "&amp;'Matriz Riesgo'!A18&amp;","," "),IF(AND('Matriz Riesgo'!H19=1,'Matriz Riesgo'!K19=3)," "&amp;'Matriz Riesgo'!A19&amp;","," "),IF(AND('Matriz Riesgo'!H20=1,'Matriz Riesgo'!K20=3)," "&amp;'Matriz Riesgo'!A20&amp;","," "),IF(AND('Matriz Riesgo'!H21=1,'Matriz Riesgo'!K21=3)," "&amp;'Matriz Riesgo'!A21&amp;","," "),IF(AND('Matriz Riesgo'!H22=1,'Matriz Riesgo'!K22=3)," "&amp;'Matriz Riesgo'!A22&amp;","," "),IF(AND('Matriz Riesgo'!H23=1,'Matriz Riesgo'!K23=3)," "&amp;'Matriz Riesgo'!A23&amp;","," "),IF(AND('Matriz Riesgo'!H24=1,'Matriz Riesgo'!K24=3)," "&amp;'Matriz Riesgo'!A24&amp;","," "),IF(AND('Matriz Riesgo'!H25=1,'Matriz Riesgo'!K25=3)," "&amp;'Matriz Riesgo'!A25&amp;","," "),IF(AND('Matriz Riesgo'!H26=1,'Matriz Riesgo'!K26=3)," "&amp;'Matriz Riesgo'!A26&amp;","," "),IF(AND('Matriz Riesgo'!H27=1,'Matriz Riesgo'!K27=3)," "&amp;'Matriz Riesgo'!A27," "))</f>
        <v xml:space="preserve">    4,     9,       16,  18, 19,  </v>
      </c>
      <c r="H8" s="65" t="str">
        <f>CONCATENATE(IF(AND('Matriz Riesgo'!H7=1,'Matriz Riesgo'!K7=4)," "&amp;'Matriz Riesgo'!A7&amp;","," "),IF(AND('Matriz Riesgo'!H8=1,'Matriz Riesgo'!K8=4)," "&amp;'Matriz Riesgo'!A8&amp;","," "),IF(AND('Matriz Riesgo'!H9=1,'Matriz Riesgo'!K9=4)," "&amp;'Matriz Riesgo'!A9&amp;","," "),IF(AND('Matriz Riesgo'!H10=1,'Matriz Riesgo'!K10=4)," "&amp;'Matriz Riesgo'!A10&amp;","," "),IF(AND('Matriz Riesgo'!H11=1,'Matriz Riesgo'!K11=4)," "&amp;'Matriz Riesgo'!A11&amp;","," "),IF(AND('Matriz Riesgo'!H12=1,'Matriz Riesgo'!K12=4)," "&amp;'Matriz Riesgo'!A12&amp;","," "),IF(AND('Matriz Riesgo'!H13=1,'Matriz Riesgo'!K13=4)," "&amp;'Matriz Riesgo'!A13&amp;","," "),IF(AND('Matriz Riesgo'!H14=1,'Matriz Riesgo'!K14=4)," "&amp;'Matriz Riesgo'!A14&amp;","," "),IF(AND('Matriz Riesgo'!H15=1,'Matriz Riesgo'!K15=4)," "&amp;'Matriz Riesgo'!A15&amp;","," "),IF(AND('Matriz Riesgo'!H16=1,'Matriz Riesgo'!K16=4)," "&amp;'Matriz Riesgo'!A16&amp;","," "),IF(AND('Matriz Riesgo'!H17=1,'Matriz Riesgo'!K17=4)," "&amp;'Matriz Riesgo'!A17&amp;","," "),IF(AND('Matriz Riesgo'!H18=1,'Matriz Riesgo'!K18=4)," "&amp;'Matriz Riesgo'!A18&amp;","," "),IF(AND('Matriz Riesgo'!H19=1,'Matriz Riesgo'!K19=4)," "&amp;'Matriz Riesgo'!A19&amp;","," "),IF(AND('Matriz Riesgo'!H20=1,'Matriz Riesgo'!K20=4)," "&amp;'Matriz Riesgo'!A20&amp;","," "),IF(AND('Matriz Riesgo'!H21=1,'Matriz Riesgo'!K21=4)," "&amp;'Matriz Riesgo'!A21&amp;","," "),IF(AND('Matriz Riesgo'!H22=1,'Matriz Riesgo'!K22=4)," "&amp;'Matriz Riesgo'!A22&amp;","," "),IF(AND('Matriz Riesgo'!H23=1,'Matriz Riesgo'!K23=4)," "&amp;'Matriz Riesgo'!A23&amp;","," "),IF(AND('Matriz Riesgo'!H24=1,'Matriz Riesgo'!K24=4)," "&amp;'Matriz Riesgo'!A24&amp;","," "),IF(AND('Matriz Riesgo'!H25=1,'Matriz Riesgo'!K25=4)," "&amp;'Matriz Riesgo'!A25&amp;","," "),IF(AND('Matriz Riesgo'!H26=1,'Matriz Riesgo'!K26=4)," "&amp;'Matriz Riesgo'!A26&amp;","," "),IF(AND('Matriz Riesgo'!H27=1,'Matriz Riesgo'!K27=4)," "&amp;'Matriz Riesgo'!A27," "))</f>
        <v xml:space="preserve">            12,         </v>
      </c>
      <c r="I8" s="60" t="str">
        <f>CONCATENATE(IF(AND('Matriz Riesgo'!H7=1,'Matriz Riesgo'!K7=5)," "&amp;'Matriz Riesgo'!A7&amp;","," "),IF(AND('Matriz Riesgo'!H8=1,'Matriz Riesgo'!K8=5)," "&amp;'Matriz Riesgo'!A8&amp;","," "),IF(AND('Matriz Riesgo'!H9=1,'Matriz Riesgo'!K9=5)," "&amp;'Matriz Riesgo'!A9&amp;","," "),IF(AND('Matriz Riesgo'!H10=1,'Matriz Riesgo'!K10=5)," "&amp;'Matriz Riesgo'!A10&amp;","," "),IF(AND('Matriz Riesgo'!H11=1,'Matriz Riesgo'!K11=5)," "&amp;'Matriz Riesgo'!A11&amp;","," "),IF(AND('Matriz Riesgo'!H12=1,'Matriz Riesgo'!K12=5)," "&amp;'Matriz Riesgo'!A12&amp;","," "),IF(AND('Matriz Riesgo'!H13=1,'Matriz Riesgo'!K13=5)," "&amp;'Matriz Riesgo'!A13&amp;","," "),IF(AND('Matriz Riesgo'!H14=1,'Matriz Riesgo'!K14=5)," "&amp;'Matriz Riesgo'!A14&amp;","," "),IF(AND('Matriz Riesgo'!H15=1,'Matriz Riesgo'!K15=5)," "&amp;'Matriz Riesgo'!A15&amp;","," "),IF(AND('Matriz Riesgo'!H16=1,'Matriz Riesgo'!K16=5)," "&amp;'Matriz Riesgo'!A16&amp;","," "),IF(AND('Matriz Riesgo'!H17=1,'Matriz Riesgo'!K17=5)," "&amp;'Matriz Riesgo'!A17&amp;","," "),IF(AND('Matriz Riesgo'!H18=1,'Matriz Riesgo'!K18=5)," "&amp;'Matriz Riesgo'!A18&amp;","," "),IF(AND('Matriz Riesgo'!H19=1,'Matriz Riesgo'!K19=5)," "&amp;'Matriz Riesgo'!A19&amp;","," "),IF(AND('Matriz Riesgo'!H20=1,'Matriz Riesgo'!K20=5)," "&amp;'Matriz Riesgo'!A20&amp;","," "),IF(AND('Matriz Riesgo'!H21=1,'Matriz Riesgo'!K21=5)," "&amp;'Matriz Riesgo'!A21&amp;","," "),IF(AND('Matriz Riesgo'!H22=1,'Matriz Riesgo'!K22=5)," "&amp;'Matriz Riesgo'!A22&amp;","," "),IF(AND('Matriz Riesgo'!H23=1,'Matriz Riesgo'!K23=5)," "&amp;'Matriz Riesgo'!A23&amp;","," "),IF(AND('Matriz Riesgo'!H24=1,'Matriz Riesgo'!K24=5)," "&amp;'Matriz Riesgo'!A24&amp;","," "),IF(AND('Matriz Riesgo'!H25=1,'Matriz Riesgo'!K25=5)," "&amp;'Matriz Riesgo'!A25&amp;","," "),IF(AND('Matriz Riesgo'!H26=1,'Matriz Riesgo'!K26=5)," "&amp;'Matriz Riesgo'!A26&amp;","," "),IF(AND('Matriz Riesgo'!H27=1,'Matriz Riesgo'!K27=5)," "&amp;'Matriz Riesgo'!A27," "))</f>
        <v xml:space="preserve">                     </v>
      </c>
      <c r="K8" t="s">
        <v>101</v>
      </c>
    </row>
    <row r="9" spans="2:23" ht="21" customHeight="1" thickBot="1" x14ac:dyDescent="0.35">
      <c r="E9" s="18" t="s">
        <v>20</v>
      </c>
      <c r="F9" s="19" t="s">
        <v>17</v>
      </c>
      <c r="G9" s="19" t="s">
        <v>11</v>
      </c>
      <c r="H9" s="19" t="s">
        <v>19</v>
      </c>
      <c r="I9" s="19" t="s">
        <v>41</v>
      </c>
    </row>
    <row r="10" spans="2:23" ht="21" customHeight="1" thickBot="1" x14ac:dyDescent="0.35">
      <c r="E10" s="131" t="s">
        <v>28</v>
      </c>
      <c r="F10" s="132"/>
      <c r="G10" s="132"/>
      <c r="H10" s="132"/>
      <c r="I10" s="133"/>
      <c r="L10" s="14"/>
      <c r="M10" s="14"/>
      <c r="U10">
        <v>4</v>
      </c>
      <c r="V10">
        <v>4</v>
      </c>
      <c r="W10">
        <v>16</v>
      </c>
    </row>
    <row r="11" spans="2:23" ht="21" customHeight="1" x14ac:dyDescent="0.3">
      <c r="E11" s="51">
        <v>1</v>
      </c>
      <c r="F11" s="51">
        <v>2</v>
      </c>
      <c r="G11" s="51">
        <v>3</v>
      </c>
      <c r="H11" s="51">
        <v>4</v>
      </c>
      <c r="I11" s="51">
        <v>5</v>
      </c>
      <c r="L11" s="14"/>
      <c r="M11" s="14"/>
      <c r="U11">
        <v>3</v>
      </c>
      <c r="V11">
        <v>4</v>
      </c>
      <c r="W11">
        <v>12</v>
      </c>
    </row>
    <row r="12" spans="2:23" x14ac:dyDescent="0.35">
      <c r="L12" s="14"/>
      <c r="M12" s="14"/>
      <c r="U12">
        <v>2</v>
      </c>
      <c r="V12">
        <v>4</v>
      </c>
      <c r="W12">
        <v>8</v>
      </c>
    </row>
    <row r="13" spans="2:23" x14ac:dyDescent="0.35">
      <c r="D13" s="22" t="s">
        <v>83</v>
      </c>
      <c r="L13" s="14"/>
      <c r="M13" s="14"/>
      <c r="U13">
        <v>1</v>
      </c>
      <c r="V13">
        <v>4</v>
      </c>
      <c r="W13">
        <v>4</v>
      </c>
    </row>
    <row r="14" spans="2:23" ht="18.600000000000001" thickBot="1" x14ac:dyDescent="0.4">
      <c r="L14" s="14"/>
      <c r="M14" s="14"/>
      <c r="U14">
        <v>5</v>
      </c>
      <c r="V14">
        <v>3</v>
      </c>
      <c r="W14">
        <v>15</v>
      </c>
    </row>
    <row r="15" spans="2:23" ht="18.600000000000001" thickBot="1" x14ac:dyDescent="0.35">
      <c r="B15" s="52">
        <v>5</v>
      </c>
      <c r="C15" s="128" t="s">
        <v>27</v>
      </c>
      <c r="D15" s="20" t="s">
        <v>36</v>
      </c>
      <c r="E15" s="2" t="str">
        <f>CONCATENATE(IF(AND('Matriz Riesgo'!Z7=5,'Matriz Riesgo'!AF7=1)," "&amp;'Matriz Riesgo'!A7&amp;","," "),IF(AND('Matriz Riesgo'!Z8=5,'Matriz Riesgo'!AF8=1)," "&amp;'Matriz Riesgo'!A8&amp;","," "),IF(AND('Matriz Riesgo'!Z9=5,'Matriz Riesgo'!AF9=1)," "&amp;'Matriz Riesgo'!A9&amp;","," "),IF(AND('Matriz Riesgo'!Z10=5,'Matriz Riesgo'!AF10=1)," "&amp;'Matriz Riesgo'!A10&amp;","," "),IF(AND('Matriz Riesgo'!Z11=5,'Matriz Riesgo'!AF11=1)," "&amp;'Matriz Riesgo'!A11&amp;","," "),IF(AND('Matriz Riesgo'!Z12=5,'Matriz Riesgo'!AF12=1)," "&amp;'Matriz Riesgo'!A12&amp;","," "),IF(AND('Matriz Riesgo'!Z13=5,'Matriz Riesgo'!AF13=1)," "&amp;'Matriz Riesgo'!A13&amp;","," "),IF(AND('Matriz Riesgo'!Z14=5,'Matriz Riesgo'!AF14=1)," "&amp;'Matriz Riesgo'!A14&amp;","," "),IF(AND('Matriz Riesgo'!Z15=5,'Matriz Riesgo'!AF15=1)," "&amp;'Matriz Riesgo'!A15&amp;","," "),IF(AND('Matriz Riesgo'!Z16=5,'Matriz Riesgo'!AF16=1)," "&amp;'Matriz Riesgo'!A16&amp;","," "),IF(AND('Matriz Riesgo'!Z17=5,'Matriz Riesgo'!AF17=1)," "&amp;'Matriz Riesgo'!A17&amp;","," "),IF(AND('Matriz Riesgo'!Z18=5,'Matriz Riesgo'!AF18=1)," "&amp;'Matriz Riesgo'!A18&amp;","," "),IF(AND('Matriz Riesgo'!Z19=5,'Matriz Riesgo'!AF19=1)," "&amp;'Matriz Riesgo'!A19&amp;","," "),IF(AND('Matriz Riesgo'!Z20=5,'Matriz Riesgo'!AF20=1)," "&amp;'Matriz Riesgo'!A20&amp;","," "),IF(AND('Matriz Riesgo'!Z21=5,'Matriz Riesgo'!AF21=1)," "&amp;'Matriz Riesgo'!A21&amp;","," "),IF(AND('Matriz Riesgo'!Z22=5,'Matriz Riesgo'!AF22=1)," "&amp;'Matriz Riesgo'!A22&amp;","," "),IF(AND('Matriz Riesgo'!Z23=5,'Matriz Riesgo'!AF23=1)," "&amp;'Matriz Riesgo'!A23&amp;","," "),IF(AND('Matriz Riesgo'!Z24=5,'Matriz Riesgo'!AF24=1)," "&amp;'Matriz Riesgo'!A24&amp;","," "),IF(AND('Matriz Riesgo'!Z25=5,'Matriz Riesgo'!AF25=1)," "&amp;'Matriz Riesgo'!A25&amp;","," "),IF(AND('Matriz Riesgo'!Z26=5,'Matriz Riesgo'!AF26=1)," "&amp;'Matriz Riesgo'!A26&amp;","," "),IF(AND('Matriz Riesgo'!Z27=5,'Matriz Riesgo'!AF27=1)," "&amp;'Matriz Riesgo'!A27," "))</f>
        <v xml:space="preserve">                     </v>
      </c>
      <c r="F15" s="3" t="str">
        <f>CONCATENATE(IF(AND('Matriz Riesgo'!Z7=5,'Matriz Riesgo'!AF7=2)," "&amp;'Matriz Riesgo'!A7&amp;","," "),IF(AND('Matriz Riesgo'!Z8=5,'Matriz Riesgo'!AF8=2)," "&amp;'Matriz Riesgo'!A8&amp;","," "),IF(AND('Matriz Riesgo'!Z9=5,'Matriz Riesgo'!AF9=2)," "&amp;'Matriz Riesgo'!A9&amp;","," "),IF(AND('Matriz Riesgo'!Z10=5,'Matriz Riesgo'!AF10=2)," "&amp;'Matriz Riesgo'!A10&amp;","," "),IF(AND('Matriz Riesgo'!Z11=5,'Matriz Riesgo'!AF11=2)," "&amp;'Matriz Riesgo'!A11&amp;","," "),IF(AND('Matriz Riesgo'!Z12=5,'Matriz Riesgo'!AF12=2)," "&amp;'Matriz Riesgo'!A12&amp;","," "),IF(AND('Matriz Riesgo'!Z13=5,'Matriz Riesgo'!AF13=2)," "&amp;'Matriz Riesgo'!A13&amp;","," "),IF(AND('Matriz Riesgo'!Z14=5,'Matriz Riesgo'!AF14=2)," "&amp;'Matriz Riesgo'!A14&amp;","," "),IF(AND('Matriz Riesgo'!Z15=5,'Matriz Riesgo'!AF15=2)," "&amp;'Matriz Riesgo'!A15&amp;","," "),IF(AND('Matriz Riesgo'!Z16=5,'Matriz Riesgo'!AF16=2)," "&amp;'Matriz Riesgo'!A16&amp;","," "),IF(AND('Matriz Riesgo'!Z17=5,'Matriz Riesgo'!AF17=2)," "&amp;'Matriz Riesgo'!A17&amp;","," "),IF(AND('Matriz Riesgo'!Z18=5,'Matriz Riesgo'!AF18=2)," "&amp;'Matriz Riesgo'!A18&amp;","," "),IF(AND('Matriz Riesgo'!Z19=5,'Matriz Riesgo'!AF19=2)," "&amp;'Matriz Riesgo'!A19&amp;","," "),IF(AND('Matriz Riesgo'!Z20=5,'Matriz Riesgo'!AF20=2)," "&amp;'Matriz Riesgo'!A20&amp;","," "),IF(AND('Matriz Riesgo'!Z21=5,'Matriz Riesgo'!AF21=2)," "&amp;'Matriz Riesgo'!A21&amp;","," "),IF(AND('Matriz Riesgo'!Z22=5,'Matriz Riesgo'!AF22=2)," "&amp;'Matriz Riesgo'!A22&amp;","," "),IF(AND('Matriz Riesgo'!Z23=5,'Matriz Riesgo'!AF23=2)," "&amp;'Matriz Riesgo'!A23&amp;","," "),IF(AND('Matriz Riesgo'!Z24=5,'Matriz Riesgo'!AF24=2)," "&amp;'Matriz Riesgo'!A24&amp;","," "),IF(AND('Matriz Riesgo'!Z25=5,'Matriz Riesgo'!AF25=2)," "&amp;'Matriz Riesgo'!A25&amp;","," "),IF(AND('Matriz Riesgo'!Z26=5,'Matriz Riesgo'!AF26=2)," "&amp;'Matriz Riesgo'!A26&amp;","," "),IF(AND('Matriz Riesgo'!Z27=5,'Matriz Riesgo'!AF27=2)," "&amp;'Matriz Riesgo'!A27," "))</f>
        <v xml:space="preserve">                     </v>
      </c>
      <c r="G15" s="3" t="str">
        <f>CONCATENATE(IF(AND('Matriz Riesgo'!Z7=5,'Matriz Riesgo'!AF7=3)," "&amp;'Matriz Riesgo'!A7&amp;","," "),IF(AND('Matriz Riesgo'!Z8=5,'Matriz Riesgo'!AF8=3)," "&amp;'Matriz Riesgo'!A8&amp;","," "),IF(AND('Matriz Riesgo'!Z9=5,'Matriz Riesgo'!AF9=3)," "&amp;'Matriz Riesgo'!A9&amp;","," "),IF(AND('Matriz Riesgo'!Z10=5,'Matriz Riesgo'!AF10=3)," "&amp;'Matriz Riesgo'!A10&amp;","," "),IF(AND('Matriz Riesgo'!Z11=5,'Matriz Riesgo'!AF11=3)," "&amp;'Matriz Riesgo'!A11&amp;","," "),IF(AND('Matriz Riesgo'!Z12=5,'Matriz Riesgo'!AF12=3)," "&amp;'Matriz Riesgo'!A12&amp;","," "),IF(AND('Matriz Riesgo'!Z13=5,'Matriz Riesgo'!AF13=3)," "&amp;'Matriz Riesgo'!A13&amp;","," "),IF(AND('Matriz Riesgo'!Z14=5,'Matriz Riesgo'!AF14=3)," "&amp;'Matriz Riesgo'!A14&amp;","," "),IF(AND('Matriz Riesgo'!Z15=5,'Matriz Riesgo'!AF15=3)," "&amp;'Matriz Riesgo'!A15&amp;","," "),IF(AND('Matriz Riesgo'!Z16=5,'Matriz Riesgo'!AF16=3)," "&amp;'Matriz Riesgo'!A16&amp;","," "),IF(AND('Matriz Riesgo'!Z17=5,'Matriz Riesgo'!AF17=3)," "&amp;'Matriz Riesgo'!A17&amp;","," "),IF(AND('Matriz Riesgo'!Z18=5,'Matriz Riesgo'!AF18=3)," "&amp;'Matriz Riesgo'!A18&amp;","," "),IF(AND('Matriz Riesgo'!Z19=5,'Matriz Riesgo'!AF19=3)," "&amp;'Matriz Riesgo'!A19&amp;","," "),IF(AND('Matriz Riesgo'!Z20=5,'Matriz Riesgo'!AF20=3)," "&amp;'Matriz Riesgo'!A20&amp;","," "),IF(AND('Matriz Riesgo'!Z21=5,'Matriz Riesgo'!AF21=3)," "&amp;'Matriz Riesgo'!A21&amp;","," "),IF(AND('Matriz Riesgo'!Z22=5,'Matriz Riesgo'!AF22=3)," "&amp;'Matriz Riesgo'!A22&amp;","," "),IF(AND('Matriz Riesgo'!Z23=5,'Matriz Riesgo'!AF23=3)," "&amp;'Matriz Riesgo'!A23&amp;","," "),IF(AND('Matriz Riesgo'!Z24=5,'Matriz Riesgo'!AF24=3)," "&amp;'Matriz Riesgo'!A24&amp;","," "),IF(AND('Matriz Riesgo'!Z25=5,'Matriz Riesgo'!AF25=3)," "&amp;'Matriz Riesgo'!A25&amp;","," "),IF(AND('Matriz Riesgo'!Z26=5,'Matriz Riesgo'!AF26=3)," "&amp;'Matriz Riesgo'!A26&amp;","," "),IF(AND('Matriz Riesgo'!Z27=5,'Matriz Riesgo'!AF27=3)," "&amp;'Matriz Riesgo'!A27," "))</f>
        <v xml:space="preserve">                     </v>
      </c>
      <c r="H15" s="4" t="str">
        <f>CONCATENATE(IF(AND('Matriz Riesgo'!Z7=5,'Matriz Riesgo'!AF7=4)," "&amp;'Matriz Riesgo'!A7&amp;","," "),IF(AND('Matriz Riesgo'!Z8=5,'Matriz Riesgo'!AF8=4)," "&amp;'Matriz Riesgo'!A8&amp;","," "),IF(AND('Matriz Riesgo'!Z9=5,'Matriz Riesgo'!AF9=4)," "&amp;'Matriz Riesgo'!A9&amp;","," "),IF(AND('Matriz Riesgo'!Z10=5,'Matriz Riesgo'!AF10=4)," "&amp;'Matriz Riesgo'!A10&amp;","," "),IF(AND('Matriz Riesgo'!Z11=5,'Matriz Riesgo'!AF11=4)," "&amp;'Matriz Riesgo'!A11&amp;","," "),IF(AND('Matriz Riesgo'!Z12=5,'Matriz Riesgo'!AF12=4)," "&amp;'Matriz Riesgo'!A12&amp;","," "),IF(AND('Matriz Riesgo'!Z13=5,'Matriz Riesgo'!AF13=4)," "&amp;'Matriz Riesgo'!A13&amp;","," "),IF(AND('Matriz Riesgo'!Z14=5,'Matriz Riesgo'!AF14=4)," "&amp;'Matriz Riesgo'!A14&amp;","," "),IF(AND('Matriz Riesgo'!Z15=5,'Matriz Riesgo'!AF15=4)," "&amp;'Matriz Riesgo'!A15&amp;","," "),IF(AND('Matriz Riesgo'!Z16=5,'Matriz Riesgo'!AF16=4)," "&amp;'Matriz Riesgo'!A16&amp;","," "),IF(AND('Matriz Riesgo'!Z17=5,'Matriz Riesgo'!AF17=4)," "&amp;'Matriz Riesgo'!A17&amp;","," "),IF(AND('Matriz Riesgo'!Z18=5,'Matriz Riesgo'!AF18=4)," "&amp;'Matriz Riesgo'!A18&amp;","," "),IF(AND('Matriz Riesgo'!Z19=5,'Matriz Riesgo'!AF19=4)," "&amp;'Matriz Riesgo'!A19&amp;","," "),IF(AND('Matriz Riesgo'!Z20=5,'Matriz Riesgo'!AF20=4)," "&amp;'Matriz Riesgo'!A20&amp;","," "),IF(AND('Matriz Riesgo'!Z21=5,'Matriz Riesgo'!AF21=4)," "&amp;'Matriz Riesgo'!A21&amp;","," "),IF(AND('Matriz Riesgo'!Z22=5,'Matriz Riesgo'!AF22=4)," "&amp;'Matriz Riesgo'!A22&amp;","," "),IF(AND('Matriz Riesgo'!Z23=5,'Matriz Riesgo'!AF23=4)," "&amp;'Matriz Riesgo'!A23&amp;","," "),IF(AND('Matriz Riesgo'!Z24=5,'Matriz Riesgo'!AF24=4)," "&amp;'Matriz Riesgo'!A24&amp;","," "),IF(AND('Matriz Riesgo'!Z25=5,'Matriz Riesgo'!AF25=4)," "&amp;'Matriz Riesgo'!A25&amp;","," "),IF(AND('Matriz Riesgo'!Z26=5,'Matriz Riesgo'!AF26=4)," "&amp;'Matriz Riesgo'!A26&amp;","," "),IF(AND('Matriz Riesgo'!Z27=5,'Matriz Riesgo'!AF27=4)," "&amp;'Matriz Riesgo'!A27," "))</f>
        <v xml:space="preserve">                     </v>
      </c>
      <c r="I15" s="4" t="str">
        <f>CONCATENATE(IF(AND('Matriz Riesgo'!Z7=5,'Matriz Riesgo'!AF7=5)," "&amp;'Matriz Riesgo'!A7&amp;","," "),IF(AND('Matriz Riesgo'!Z8=5,'Matriz Riesgo'!AF8=5)," "&amp;'Matriz Riesgo'!A8&amp;","," "),IF(AND('Matriz Riesgo'!Z9=5,'Matriz Riesgo'!AF9=5)," "&amp;'Matriz Riesgo'!A9&amp;","," "),IF(AND('Matriz Riesgo'!Z10=5,'Matriz Riesgo'!AF10=5)," "&amp;'Matriz Riesgo'!A10&amp;","," "),IF(AND('Matriz Riesgo'!Z11=5,'Matriz Riesgo'!AF11=5)," "&amp;'Matriz Riesgo'!A11&amp;","," "),IF(AND('Matriz Riesgo'!Z12=5,'Matriz Riesgo'!AF12=5)," "&amp;'Matriz Riesgo'!A12&amp;","," "),IF(AND('Matriz Riesgo'!Z13=5,'Matriz Riesgo'!AF13=5)," "&amp;'Matriz Riesgo'!A13&amp;","," "),IF(AND('Matriz Riesgo'!Z14=5,'Matriz Riesgo'!AF14=5)," "&amp;'Matriz Riesgo'!A14&amp;","," "),IF(AND('Matriz Riesgo'!Z15=5,'Matriz Riesgo'!AF15=5)," "&amp;'Matriz Riesgo'!A15&amp;","," "),IF(AND('Matriz Riesgo'!Z16=5,'Matriz Riesgo'!AF16=5)," "&amp;'Matriz Riesgo'!A16&amp;","," "),IF(AND('Matriz Riesgo'!Z17=5,'Matriz Riesgo'!AF17=5)," "&amp;'Matriz Riesgo'!A17&amp;","," "),IF(AND('Matriz Riesgo'!Z18=5,'Matriz Riesgo'!AF18=5)," "&amp;'Matriz Riesgo'!A18&amp;","," "),IF(AND('Matriz Riesgo'!Z19=5,'Matriz Riesgo'!AF19=5)," "&amp;'Matriz Riesgo'!A19&amp;","," "),IF(AND('Matriz Riesgo'!Z20=5,'Matriz Riesgo'!AF20=5)," "&amp;'Matriz Riesgo'!A20&amp;","," "),IF(AND('Matriz Riesgo'!Z21=5,'Matriz Riesgo'!AF21=5)," "&amp;'Matriz Riesgo'!A21&amp;","," "),IF(AND('Matriz Riesgo'!Z22=5,'Matriz Riesgo'!AF22=5)," "&amp;'Matriz Riesgo'!A22&amp;","," "),IF(AND('Matriz Riesgo'!Z23=5,'Matriz Riesgo'!AF23=5)," "&amp;'Matriz Riesgo'!A23&amp;","," "),IF(AND('Matriz Riesgo'!Z24=5,'Matriz Riesgo'!AF24=5)," "&amp;'Matriz Riesgo'!A24&amp;","," "),IF(AND('Matriz Riesgo'!Z25=5,'Matriz Riesgo'!AF25=5)," "&amp;'Matriz Riesgo'!A25&amp;","," "),IF(AND('Matriz Riesgo'!Z26=5,'Matriz Riesgo'!AF26=5)," "&amp;'Matriz Riesgo'!A26&amp;","," "),IF(AND('Matriz Riesgo'!Z27=5,'Matriz Riesgo'!AF27=5)," "&amp;'Matriz Riesgo'!A27," "))</f>
        <v xml:space="preserve">                     </v>
      </c>
      <c r="L15" s="14"/>
      <c r="M15" s="14"/>
      <c r="U15">
        <v>4</v>
      </c>
      <c r="V15">
        <v>3</v>
      </c>
      <c r="W15">
        <v>12</v>
      </c>
    </row>
    <row r="16" spans="2:23" ht="18.600000000000001" thickBot="1" x14ac:dyDescent="0.35">
      <c r="B16" s="52">
        <v>4</v>
      </c>
      <c r="C16" s="129"/>
      <c r="D16" s="20" t="s">
        <v>37</v>
      </c>
      <c r="E16" s="5" t="str">
        <f>CONCATENATE(IF(AND('Matriz Riesgo'!Z7=4,'Matriz Riesgo'!AF7=1)," "&amp;'Matriz Riesgo'!A7&amp;","," "),IF(AND('Matriz Riesgo'!Z8=4,'Matriz Riesgo'!AF8=1)," "&amp;'Matriz Riesgo'!A8&amp;","," "),IF(AND('Matriz Riesgo'!Z9=4,'Matriz Riesgo'!AF9=1)," "&amp;'Matriz Riesgo'!A9&amp;","," "),IF(AND('Matriz Riesgo'!Z10=4,'Matriz Riesgo'!AF10=1)," "&amp;'Matriz Riesgo'!A10&amp;","," "),IF(AND('Matriz Riesgo'!Z11=4,'Matriz Riesgo'!AF11=1)," "&amp;'Matriz Riesgo'!A11&amp;","," "),IF(AND('Matriz Riesgo'!Z12=4,'Matriz Riesgo'!AF12=1)," "&amp;'Matriz Riesgo'!A12&amp;","," "),IF(AND('Matriz Riesgo'!Z13=4,'Matriz Riesgo'!AF13=1)," "&amp;'Matriz Riesgo'!A13&amp;","," "),IF(AND('Matriz Riesgo'!Z14=4,'Matriz Riesgo'!AF14=1)," "&amp;'Matriz Riesgo'!A14&amp;","," "),IF(AND('Matriz Riesgo'!Z15=4,'Matriz Riesgo'!AF15=1)," "&amp;'Matriz Riesgo'!A15&amp;","," "),IF(AND('Matriz Riesgo'!Z16=4,'Matriz Riesgo'!AF16=1)," "&amp;'Matriz Riesgo'!A16&amp;","," "),IF(AND('Matriz Riesgo'!Z17=4,'Matriz Riesgo'!AF17=1)," "&amp;'Matriz Riesgo'!A17&amp;","," "),IF(AND('Matriz Riesgo'!Z18=4,'Matriz Riesgo'!AF18=1)," "&amp;'Matriz Riesgo'!A18&amp;","," "),IF(AND('Matriz Riesgo'!Z19=4,'Matriz Riesgo'!AF19=1)," "&amp;'Matriz Riesgo'!A19&amp;","," "),IF(AND('Matriz Riesgo'!Z20=4,'Matriz Riesgo'!AF20=1)," "&amp;'Matriz Riesgo'!A20&amp;","," "),IF(AND('Matriz Riesgo'!Z21=4,'Matriz Riesgo'!AF21=1)," "&amp;'Matriz Riesgo'!A21&amp;","," "),IF(AND('Matriz Riesgo'!Z22=4,'Matriz Riesgo'!AF22=1)," "&amp;'Matriz Riesgo'!A22&amp;","," "),IF(AND('Matriz Riesgo'!Z23=4,'Matriz Riesgo'!AF23=1)," "&amp;'Matriz Riesgo'!A23&amp;","," "),IF(AND('Matriz Riesgo'!Z24=4,'Matriz Riesgo'!AF24=1)," "&amp;'Matriz Riesgo'!A24&amp;","," "),IF(AND('Matriz Riesgo'!Z25=4,'Matriz Riesgo'!AF25=1)," "&amp;'Matriz Riesgo'!A25&amp;","," "),IF(AND('Matriz Riesgo'!Z26=4,'Matriz Riesgo'!AF26=1)," "&amp;'Matriz Riesgo'!A26&amp;","," "),IF(AND('Matriz Riesgo'!Z27=4,'Matriz Riesgo'!AF27=1)," "&amp;'Matriz Riesgo'!A27," "))</f>
        <v xml:space="preserve">                     </v>
      </c>
      <c r="F16" s="6" t="str">
        <f>CONCATENATE(IF(AND('Matriz Riesgo'!Z7=4,'Matriz Riesgo'!AF7=2)," "&amp;'Matriz Riesgo'!A7&amp;","," "),IF(AND('Matriz Riesgo'!Z8=4,'Matriz Riesgo'!AF8=2)," "&amp;'Matriz Riesgo'!A8&amp;","," "),IF(AND('Matriz Riesgo'!Z9=4,'Matriz Riesgo'!AF9=2)," "&amp;'Matriz Riesgo'!A9&amp;","," "),IF(AND('Matriz Riesgo'!Z10=4,'Matriz Riesgo'!AF10=2)," "&amp;'Matriz Riesgo'!A10&amp;","," "),IF(AND('Matriz Riesgo'!Z11=4,'Matriz Riesgo'!AF11=2)," "&amp;'Matriz Riesgo'!A11&amp;","," "),IF(AND('Matriz Riesgo'!Z12=4,'Matriz Riesgo'!AF12=2)," "&amp;'Matriz Riesgo'!A12&amp;","," "),IF(AND('Matriz Riesgo'!Z13=4,'Matriz Riesgo'!AF13=2)," "&amp;'Matriz Riesgo'!A13&amp;","," "),IF(AND('Matriz Riesgo'!Z14=4,'Matriz Riesgo'!AF14=2)," "&amp;'Matriz Riesgo'!A14&amp;","," "),IF(AND('Matriz Riesgo'!Z15=4,'Matriz Riesgo'!AF15=2)," "&amp;'Matriz Riesgo'!A15&amp;","," "),IF(AND('Matriz Riesgo'!Z16=4,'Matriz Riesgo'!AF16=2)," "&amp;'Matriz Riesgo'!A16&amp;","," "),IF(AND('Matriz Riesgo'!Z17=4,'Matriz Riesgo'!AF17=2)," "&amp;'Matriz Riesgo'!A17&amp;","," "),IF(AND('Matriz Riesgo'!Z18=4,'Matriz Riesgo'!AF18=2)," "&amp;'Matriz Riesgo'!A18&amp;","," "),IF(AND('Matriz Riesgo'!Z19=4,'Matriz Riesgo'!AF19=2)," "&amp;'Matriz Riesgo'!A19&amp;","," "),IF(AND('Matriz Riesgo'!Z20=4,'Matriz Riesgo'!AF20=2)," "&amp;'Matriz Riesgo'!A20&amp;","," "),IF(AND('Matriz Riesgo'!Z21=4,'Matriz Riesgo'!AF21=2)," "&amp;'Matriz Riesgo'!A21&amp;","," "),IF(AND('Matriz Riesgo'!Z22=4,'Matriz Riesgo'!AF22=2)," "&amp;'Matriz Riesgo'!A22&amp;","," "),IF(AND('Matriz Riesgo'!Z23=4,'Matriz Riesgo'!AF23=2)," "&amp;'Matriz Riesgo'!A23&amp;","," "),IF(AND('Matriz Riesgo'!Z24=4,'Matriz Riesgo'!AF24=2)," "&amp;'Matriz Riesgo'!A24&amp;","," "),IF(AND('Matriz Riesgo'!Z25=4,'Matriz Riesgo'!AF25=2)," "&amp;'Matriz Riesgo'!A25&amp;","," "),IF(AND('Matriz Riesgo'!Z26=4,'Matriz Riesgo'!AF26=2)," "&amp;'Matriz Riesgo'!A26&amp;","," "),IF(AND('Matriz Riesgo'!Z27=4,'Matriz Riesgo'!AF27=2)," "&amp;'Matriz Riesgo'!A27," "))</f>
        <v xml:space="preserve">                     </v>
      </c>
      <c r="G16" s="7" t="str">
        <f>CONCATENATE(IF(AND('Matriz Riesgo'!Z7=4,'Matriz Riesgo'!AF7=3)," "&amp;'Matriz Riesgo'!A7&amp;","," "),IF(AND('Matriz Riesgo'!Z8=4,'Matriz Riesgo'!AF8=3)," "&amp;'Matriz Riesgo'!A8&amp;","," "),IF(AND('Matriz Riesgo'!Z9=4,'Matriz Riesgo'!AF9=3)," "&amp;'Matriz Riesgo'!A9&amp;","," "),IF(AND('Matriz Riesgo'!Z10=4,'Matriz Riesgo'!AF10=3)," "&amp;'Matriz Riesgo'!A10&amp;","," "),IF(AND('Matriz Riesgo'!Z11=4,'Matriz Riesgo'!AF11=3)," "&amp;'Matriz Riesgo'!A11&amp;","," "),IF(AND('Matriz Riesgo'!Z12=4,'Matriz Riesgo'!AF12=3)," "&amp;'Matriz Riesgo'!A12&amp;","," "),IF(AND('Matriz Riesgo'!Z13=4,'Matriz Riesgo'!AF13=3)," "&amp;'Matriz Riesgo'!A13&amp;","," "),IF(AND('Matriz Riesgo'!Z14=4,'Matriz Riesgo'!AF14=3)," "&amp;'Matriz Riesgo'!A14&amp;","," "),IF(AND('Matriz Riesgo'!Z15=4,'Matriz Riesgo'!AF15=3)," "&amp;'Matriz Riesgo'!A15&amp;","," "),IF(AND('Matriz Riesgo'!Z16=4,'Matriz Riesgo'!AF16=3)," "&amp;'Matriz Riesgo'!A16&amp;","," "),IF(AND('Matriz Riesgo'!Z17=4,'Matriz Riesgo'!AF17=3)," "&amp;'Matriz Riesgo'!A17&amp;","," "),IF(AND('Matriz Riesgo'!Z18=4,'Matriz Riesgo'!AF18=3)," "&amp;'Matriz Riesgo'!A18&amp;","," "),IF(AND('Matriz Riesgo'!Z19=4,'Matriz Riesgo'!AF19=3)," "&amp;'Matriz Riesgo'!A19&amp;","," "),IF(AND('Matriz Riesgo'!Z20=4,'Matriz Riesgo'!AF20=3)," "&amp;'Matriz Riesgo'!A20&amp;","," "),IF(AND('Matriz Riesgo'!Z21=4,'Matriz Riesgo'!AF21=3)," "&amp;'Matriz Riesgo'!A21&amp;","," "),IF(AND('Matriz Riesgo'!Z22=4,'Matriz Riesgo'!AF22=3)," "&amp;'Matriz Riesgo'!A22&amp;","," "),IF(AND('Matriz Riesgo'!Z23=4,'Matriz Riesgo'!AF23=3)," "&amp;'Matriz Riesgo'!A23&amp;","," "),IF(AND('Matriz Riesgo'!Z24=4,'Matriz Riesgo'!AF24=3)," "&amp;'Matriz Riesgo'!A24&amp;","," "),IF(AND('Matriz Riesgo'!Z25=4,'Matriz Riesgo'!AF25=3)," "&amp;'Matriz Riesgo'!A25&amp;","," "),IF(AND('Matriz Riesgo'!Z26=4,'Matriz Riesgo'!AF26=3)," "&amp;'Matriz Riesgo'!A26&amp;","," "),IF(AND('Matriz Riesgo'!Z27=4,'Matriz Riesgo'!AF27=3)," "&amp;'Matriz Riesgo'!A27," "))</f>
        <v xml:space="preserve">                     </v>
      </c>
      <c r="H16" s="8" t="str">
        <f>CONCATENATE(IF(AND('Matriz Riesgo'!Z7=4,'Matriz Riesgo'!AF7=4)," "&amp;'Matriz Riesgo'!A7&amp;","," "),IF(AND('Matriz Riesgo'!Z8=4,'Matriz Riesgo'!AF8=4)," "&amp;'Matriz Riesgo'!A8&amp;","," "),IF(AND('Matriz Riesgo'!Z9=4,'Matriz Riesgo'!AF9=4)," "&amp;'Matriz Riesgo'!A9&amp;","," "),IF(AND('Matriz Riesgo'!Z10=4,'Matriz Riesgo'!AF10=4)," "&amp;'Matriz Riesgo'!A10&amp;","," "),IF(AND('Matriz Riesgo'!Z11=4,'Matriz Riesgo'!AF11=4)," "&amp;'Matriz Riesgo'!A11&amp;","," "),IF(AND('Matriz Riesgo'!Z12=4,'Matriz Riesgo'!AF12=4)," "&amp;'Matriz Riesgo'!A12&amp;","," "),IF(AND('Matriz Riesgo'!Z13=4,'Matriz Riesgo'!AF13=4)," "&amp;'Matriz Riesgo'!A13&amp;","," "),IF(AND('Matriz Riesgo'!Z14=4,'Matriz Riesgo'!AF14=4)," "&amp;'Matriz Riesgo'!A14&amp;","," "),IF(AND('Matriz Riesgo'!Z15=4,'Matriz Riesgo'!AF15=4)," "&amp;'Matriz Riesgo'!A15&amp;","," "),IF(AND('Matriz Riesgo'!Z16=4,'Matriz Riesgo'!AF16=4)," "&amp;'Matriz Riesgo'!A16&amp;","," "),IF(AND('Matriz Riesgo'!Z17=4,'Matriz Riesgo'!AF17=4)," "&amp;'Matriz Riesgo'!A17&amp;","," "),IF(AND('Matriz Riesgo'!Z18=4,'Matriz Riesgo'!AF18=4)," "&amp;'Matriz Riesgo'!A18&amp;","," "),IF(AND('Matriz Riesgo'!Z19=4,'Matriz Riesgo'!AF19=4)," "&amp;'Matriz Riesgo'!A19&amp;","," "),IF(AND('Matriz Riesgo'!Z20=4,'Matriz Riesgo'!AF20=4)," "&amp;'Matriz Riesgo'!A20&amp;","," "),IF(AND('Matriz Riesgo'!Z21=4,'Matriz Riesgo'!AF21=4)," "&amp;'Matriz Riesgo'!A21&amp;","," "),IF(AND('Matriz Riesgo'!Z22=4,'Matriz Riesgo'!AF22=4)," "&amp;'Matriz Riesgo'!A22&amp;","," "),IF(AND('Matriz Riesgo'!Z23=4,'Matriz Riesgo'!AF23=4)," "&amp;'Matriz Riesgo'!A23&amp;","," "),IF(AND('Matriz Riesgo'!Z24=4,'Matriz Riesgo'!AF24=4)," "&amp;'Matriz Riesgo'!A24&amp;","," "),IF(AND('Matriz Riesgo'!Z25=4,'Matriz Riesgo'!AF25=4)," "&amp;'Matriz Riesgo'!A25&amp;","," "),IF(AND('Matriz Riesgo'!Z26=4,'Matriz Riesgo'!AF26=4)," "&amp;'Matriz Riesgo'!A26&amp;","," "),IF(AND('Matriz Riesgo'!Z27=4,'Matriz Riesgo'!AF27=4)," "&amp;'Matriz Riesgo'!A27," "))</f>
        <v xml:space="preserve">                     </v>
      </c>
      <c r="I16" s="8" t="str">
        <f>CONCATENATE(IF(AND('Matriz Riesgo'!Z7=4,'Matriz Riesgo'!AF7=5)," "&amp;'Matriz Riesgo'!A7&amp;","," "),IF(AND('Matriz Riesgo'!Z8=4,'Matriz Riesgo'!AF8=5)," "&amp;'Matriz Riesgo'!A8&amp;","," "),IF(AND('Matriz Riesgo'!Z9=4,'Matriz Riesgo'!AF9=5)," "&amp;'Matriz Riesgo'!A9&amp;","," "),IF(AND('Matriz Riesgo'!Z10=4,'Matriz Riesgo'!AF10=5)," "&amp;'Matriz Riesgo'!A10&amp;","," "),IF(AND('Matriz Riesgo'!Z11=4,'Matriz Riesgo'!AF11=5)," "&amp;'Matriz Riesgo'!A11&amp;","," "),IF(AND('Matriz Riesgo'!Z12=4,'Matriz Riesgo'!AF12=5)," "&amp;'Matriz Riesgo'!A12&amp;","," "),IF(AND('Matriz Riesgo'!Z13=4,'Matriz Riesgo'!AF13=5)," "&amp;'Matriz Riesgo'!A13&amp;","," "),IF(AND('Matriz Riesgo'!Z14=4,'Matriz Riesgo'!AF14=5)," "&amp;'Matriz Riesgo'!A14&amp;","," "),IF(AND('Matriz Riesgo'!Z15=4,'Matriz Riesgo'!AF15=5)," "&amp;'Matriz Riesgo'!A15&amp;","," "),IF(AND('Matriz Riesgo'!Z16=4,'Matriz Riesgo'!AF16=5)," "&amp;'Matriz Riesgo'!A16&amp;","," "),IF(AND('Matriz Riesgo'!Z17=4,'Matriz Riesgo'!AF17=5)," "&amp;'Matriz Riesgo'!A17&amp;","," "),IF(AND('Matriz Riesgo'!Z18=4,'Matriz Riesgo'!AF18=5)," "&amp;'Matriz Riesgo'!A18&amp;","," "),IF(AND('Matriz Riesgo'!Z19=4,'Matriz Riesgo'!AF19=5)," "&amp;'Matriz Riesgo'!A19&amp;","," "),IF(AND('Matriz Riesgo'!Z20=4,'Matriz Riesgo'!AF20=5)," "&amp;'Matriz Riesgo'!A20&amp;","," "),IF(AND('Matriz Riesgo'!Z21=4,'Matriz Riesgo'!AF21=5)," "&amp;'Matriz Riesgo'!A21&amp;","," "),IF(AND('Matriz Riesgo'!Z22=4,'Matriz Riesgo'!AF22=5)," "&amp;'Matriz Riesgo'!A22&amp;","," "),IF(AND('Matriz Riesgo'!Z23=4,'Matriz Riesgo'!AF23=5)," "&amp;'Matriz Riesgo'!A23&amp;","," "),IF(AND('Matriz Riesgo'!Z24=4,'Matriz Riesgo'!AF24=5)," "&amp;'Matriz Riesgo'!A24&amp;","," "),IF(AND('Matriz Riesgo'!Z25=4,'Matriz Riesgo'!AF25=5)," "&amp;'Matriz Riesgo'!A25&amp;","," "),IF(AND('Matriz Riesgo'!Z26=4,'Matriz Riesgo'!AF26=5)," "&amp;'Matriz Riesgo'!A26&amp;","," "),IF(AND('Matriz Riesgo'!Z27=4,'Matriz Riesgo'!AF27=5)," "&amp;'Matriz Riesgo'!A27," "))</f>
        <v xml:space="preserve">                     </v>
      </c>
      <c r="L16" s="14"/>
      <c r="M16" s="14"/>
      <c r="U16">
        <v>3</v>
      </c>
      <c r="V16">
        <v>3</v>
      </c>
      <c r="W16">
        <v>9</v>
      </c>
    </row>
    <row r="17" spans="2:23" ht="18.600000000000001" thickBot="1" x14ac:dyDescent="0.35">
      <c r="B17" s="52">
        <v>3</v>
      </c>
      <c r="C17" s="129"/>
      <c r="D17" s="20" t="s">
        <v>38</v>
      </c>
      <c r="E17" s="5" t="str">
        <f>CONCATENATE(IF(AND('Matriz Riesgo'!Z7=3,'Matriz Riesgo'!AF7=1)," "&amp;'Matriz Riesgo'!A7&amp;","," "),IF(AND('Matriz Riesgo'!Z8=3,'Matriz Riesgo'!AF8=1)," "&amp;'Matriz Riesgo'!A8&amp;","," "),IF(AND('Matriz Riesgo'!Z9=3,'Matriz Riesgo'!AF9=1)," "&amp;'Matriz Riesgo'!A9&amp;","," "),IF(AND('Matriz Riesgo'!Z10=3,'Matriz Riesgo'!AF10=1)," "&amp;'Matriz Riesgo'!A10&amp;","," "),IF(AND('Matriz Riesgo'!Z11=3,'Matriz Riesgo'!AF11=1)," "&amp;'Matriz Riesgo'!A11&amp;","," "),IF(AND('Matriz Riesgo'!Z12=3,'Matriz Riesgo'!AF12=1)," "&amp;'Matriz Riesgo'!A12&amp;","," "),IF(AND('Matriz Riesgo'!Z13=3,'Matriz Riesgo'!AF13=1)," "&amp;'Matriz Riesgo'!A13&amp;","," "),IF(AND('Matriz Riesgo'!Z14=3,'Matriz Riesgo'!AF14=1)," "&amp;'Matriz Riesgo'!A14&amp;","," "),IF(AND('Matriz Riesgo'!Z15=3,'Matriz Riesgo'!AF15=1)," "&amp;'Matriz Riesgo'!A15&amp;","," "),IF(AND('Matriz Riesgo'!Z16=3,'Matriz Riesgo'!AF16=1)," "&amp;'Matriz Riesgo'!A16&amp;","," "),IF(AND('Matriz Riesgo'!Z17=3,'Matriz Riesgo'!AF17=1)," "&amp;'Matriz Riesgo'!A17&amp;","," "),IF(AND('Matriz Riesgo'!Z18=3,'Matriz Riesgo'!AF18=1)," "&amp;'Matriz Riesgo'!A18&amp;","," "),IF(AND('Matriz Riesgo'!Z19=3,'Matriz Riesgo'!AF19=1)," "&amp;'Matriz Riesgo'!A19&amp;","," "),IF(AND('Matriz Riesgo'!Z20=3,'Matriz Riesgo'!AF20=1)," "&amp;'Matriz Riesgo'!A20&amp;","," "),IF(AND('Matriz Riesgo'!Z21=3,'Matriz Riesgo'!AF21=1)," "&amp;'Matriz Riesgo'!A21&amp;","," "),IF(AND('Matriz Riesgo'!Z22=3,'Matriz Riesgo'!AF22=1)," "&amp;'Matriz Riesgo'!A22&amp;","," "),IF(AND('Matriz Riesgo'!Z23=3,'Matriz Riesgo'!AF23=1)," "&amp;'Matriz Riesgo'!A23&amp;","," "),IF(AND('Matriz Riesgo'!Z24=3,'Matriz Riesgo'!AF24=1)," "&amp;'Matriz Riesgo'!A24&amp;","," "),IF(AND('Matriz Riesgo'!Z25=3,'Matriz Riesgo'!AF25=1)," "&amp;'Matriz Riesgo'!A25&amp;","," "),IF(AND('Matriz Riesgo'!Z26=3,'Matriz Riesgo'!AF26=1)," "&amp;'Matriz Riesgo'!A26&amp;","," "),IF(AND('Matriz Riesgo'!Z27=3,'Matriz Riesgo'!AF27=1)," "&amp;'Matriz Riesgo'!A27," "))</f>
        <v xml:space="preserve">                     </v>
      </c>
      <c r="F17" s="6" t="str">
        <f>CONCATENATE(IF(AND('Matriz Riesgo'!Z7=3,'Matriz Riesgo'!AF7=2)," "&amp;'Matriz Riesgo'!A7&amp;","," "),IF(AND('Matriz Riesgo'!Z8=3,'Matriz Riesgo'!AF8=2)," "&amp;'Matriz Riesgo'!A8&amp;","," "),IF(AND('Matriz Riesgo'!Z9=3,'Matriz Riesgo'!AF9=2)," "&amp;'Matriz Riesgo'!A9&amp;","," "),IF(AND('Matriz Riesgo'!Z10=3,'Matriz Riesgo'!AF10=2)," "&amp;'Matriz Riesgo'!A10&amp;","," "),IF(AND('Matriz Riesgo'!Z11=3,'Matriz Riesgo'!AF11=2)," "&amp;'Matriz Riesgo'!A11&amp;","," "),IF(AND('Matriz Riesgo'!Z12=3,'Matriz Riesgo'!AF12=2)," "&amp;'Matriz Riesgo'!A12&amp;","," "),IF(AND('Matriz Riesgo'!Z13=3,'Matriz Riesgo'!AF13=2)," "&amp;'Matriz Riesgo'!A13&amp;","," "),IF(AND('Matriz Riesgo'!Z14=3,'Matriz Riesgo'!AF14=2)," "&amp;'Matriz Riesgo'!A14&amp;","," "),IF(AND('Matriz Riesgo'!Z15=3,'Matriz Riesgo'!AF15=2)," "&amp;'Matriz Riesgo'!A15&amp;","," "),IF(AND('Matriz Riesgo'!Z16=3,'Matriz Riesgo'!AF16=2)," "&amp;'Matriz Riesgo'!A16&amp;","," "),IF(AND('Matriz Riesgo'!Z17=3,'Matriz Riesgo'!AF17=2)," "&amp;'Matriz Riesgo'!A17&amp;","," "),IF(AND('Matriz Riesgo'!Z18=3,'Matriz Riesgo'!AF18=2)," "&amp;'Matriz Riesgo'!A18&amp;","," "),IF(AND('Matriz Riesgo'!Z19=3,'Matriz Riesgo'!AF19=2)," "&amp;'Matriz Riesgo'!A19&amp;","," "),IF(AND('Matriz Riesgo'!Z20=3,'Matriz Riesgo'!AF20=2)," "&amp;'Matriz Riesgo'!A20&amp;","," "),IF(AND('Matriz Riesgo'!Z21=3,'Matriz Riesgo'!AF21=2)," "&amp;'Matriz Riesgo'!A21&amp;","," "),IF(AND('Matriz Riesgo'!Z22=3,'Matriz Riesgo'!AF22=2)," "&amp;'Matriz Riesgo'!A22&amp;","," "),IF(AND('Matriz Riesgo'!Z23=3,'Matriz Riesgo'!AF23=2)," "&amp;'Matriz Riesgo'!A23&amp;","," "),IF(AND('Matriz Riesgo'!Z24=3,'Matriz Riesgo'!AF24=2)," "&amp;'Matriz Riesgo'!A24&amp;","," "),IF(AND('Matriz Riesgo'!Z25=3,'Matriz Riesgo'!AF25=2)," "&amp;'Matriz Riesgo'!A25&amp;","," "),IF(AND('Matriz Riesgo'!Z26=3,'Matriz Riesgo'!AF26=2)," "&amp;'Matriz Riesgo'!A26&amp;","," "),IF(AND('Matriz Riesgo'!Z27=3,'Matriz Riesgo'!AF27=2)," "&amp;'Matriz Riesgo'!A27," "))</f>
        <v xml:space="preserve">                     </v>
      </c>
      <c r="G17" s="6" t="str">
        <f>CONCATENATE(IF(AND('Matriz Riesgo'!Z7=3,'Matriz Riesgo'!AF7=3)," "&amp;'Matriz Riesgo'!A7&amp;","," "),IF(AND('Matriz Riesgo'!Z8=3,'Matriz Riesgo'!AF8=3)," "&amp;'Matriz Riesgo'!A8&amp;","," "),IF(AND('Matriz Riesgo'!Z9=3,'Matriz Riesgo'!AF9=3)," "&amp;'Matriz Riesgo'!A9&amp;","," "),IF(AND('Matriz Riesgo'!Z10=3,'Matriz Riesgo'!AF10=3)," "&amp;'Matriz Riesgo'!A10&amp;","," "),IF(AND('Matriz Riesgo'!Z11=3,'Matriz Riesgo'!AF11=3)," "&amp;'Matriz Riesgo'!A11&amp;","," "),IF(AND('Matriz Riesgo'!Z12=3,'Matriz Riesgo'!AF12=3)," "&amp;'Matriz Riesgo'!A12&amp;","," "),IF(AND('Matriz Riesgo'!Z13=3,'Matriz Riesgo'!AF13=3)," "&amp;'Matriz Riesgo'!A13&amp;","," "),IF(AND('Matriz Riesgo'!Z14=3,'Matriz Riesgo'!AF14=3)," "&amp;'Matriz Riesgo'!A14&amp;","," "),IF(AND('Matriz Riesgo'!Z15=3,'Matriz Riesgo'!AF15=3)," "&amp;'Matriz Riesgo'!A15&amp;","," "),IF(AND('Matriz Riesgo'!Z16=3,'Matriz Riesgo'!AF16=3)," "&amp;'Matriz Riesgo'!A16&amp;","," "),IF(AND('Matriz Riesgo'!Z17=3,'Matriz Riesgo'!AF17=3)," "&amp;'Matriz Riesgo'!A17&amp;","," "),IF(AND('Matriz Riesgo'!Z18=3,'Matriz Riesgo'!AF18=3)," "&amp;'Matriz Riesgo'!A18&amp;","," "),IF(AND('Matriz Riesgo'!Z19=3,'Matriz Riesgo'!AF19=3)," "&amp;'Matriz Riesgo'!A19&amp;","," "),IF(AND('Matriz Riesgo'!Z20=3,'Matriz Riesgo'!AF20=3)," "&amp;'Matriz Riesgo'!A20&amp;","," "),IF(AND('Matriz Riesgo'!Z21=3,'Matriz Riesgo'!AF21=3)," "&amp;'Matriz Riesgo'!A21&amp;","," "),IF(AND('Matriz Riesgo'!Z22=3,'Matriz Riesgo'!AF22=3)," "&amp;'Matriz Riesgo'!A22&amp;","," "),IF(AND('Matriz Riesgo'!Z23=3,'Matriz Riesgo'!AF23=3)," "&amp;'Matriz Riesgo'!A23&amp;","," "),IF(AND('Matriz Riesgo'!Z24=3,'Matriz Riesgo'!AF24=3)," "&amp;'Matriz Riesgo'!A24&amp;","," "),IF(AND('Matriz Riesgo'!Z25=3,'Matriz Riesgo'!AF25=3)," "&amp;'Matriz Riesgo'!A25&amp;","," "),IF(AND('Matriz Riesgo'!Z26=3,'Matriz Riesgo'!AF26=3)," "&amp;'Matriz Riesgo'!A26&amp;","," "),IF(AND('Matriz Riesgo'!Z27=3,'Matriz Riesgo'!AF27=3)," "&amp;'Matriz Riesgo'!A27," "))</f>
        <v xml:space="preserve">                     </v>
      </c>
      <c r="H17" s="7" t="str">
        <f>CONCATENATE(IF(AND('Matriz Riesgo'!Z7=3,'Matriz Riesgo'!AF7=4)," "&amp;'Matriz Riesgo'!A7&amp;","," "),IF(AND('Matriz Riesgo'!Z8=3,'Matriz Riesgo'!AF8=4)," "&amp;'Matriz Riesgo'!A8&amp;","," "),IF(AND('Matriz Riesgo'!Z9=3,'Matriz Riesgo'!AF9=4)," "&amp;'Matriz Riesgo'!A9&amp;","," "),IF(AND('Matriz Riesgo'!Z10=3,'Matriz Riesgo'!AF10=4)," "&amp;'Matriz Riesgo'!A10&amp;","," "),IF(AND('Matriz Riesgo'!Z11=3,'Matriz Riesgo'!AF11=4)," "&amp;'Matriz Riesgo'!A11&amp;","," "),IF(AND('Matriz Riesgo'!Z12=3,'Matriz Riesgo'!AF12=4)," "&amp;'Matriz Riesgo'!A12&amp;","," "),IF(AND('Matriz Riesgo'!Z13=3,'Matriz Riesgo'!AF13=4)," "&amp;'Matriz Riesgo'!A13&amp;","," "),IF(AND('Matriz Riesgo'!Z14=3,'Matriz Riesgo'!AF14=4)," "&amp;'Matriz Riesgo'!A14&amp;","," "),IF(AND('Matriz Riesgo'!Z15=3,'Matriz Riesgo'!AF15=4)," "&amp;'Matriz Riesgo'!A15&amp;","," "),IF(AND('Matriz Riesgo'!Z16=3,'Matriz Riesgo'!AF16=4)," "&amp;'Matriz Riesgo'!A16&amp;","," "),IF(AND('Matriz Riesgo'!Z17=3,'Matriz Riesgo'!AF17=4)," "&amp;'Matriz Riesgo'!A17&amp;","," "),IF(AND('Matriz Riesgo'!Z18=3,'Matriz Riesgo'!AF18=4)," "&amp;'Matriz Riesgo'!A18&amp;","," "),IF(AND('Matriz Riesgo'!Z19=3,'Matriz Riesgo'!AF19=4)," "&amp;'Matriz Riesgo'!A19&amp;","," "),IF(AND('Matriz Riesgo'!Z20=3,'Matriz Riesgo'!AF20=4)," "&amp;'Matriz Riesgo'!A20&amp;","," "),IF(AND('Matriz Riesgo'!Z21=3,'Matriz Riesgo'!AF21=4)," "&amp;'Matriz Riesgo'!A21&amp;","," "),IF(AND('Matriz Riesgo'!Z22=3,'Matriz Riesgo'!AF22=4)," "&amp;'Matriz Riesgo'!A22&amp;","," "),IF(AND('Matriz Riesgo'!Z23=3,'Matriz Riesgo'!AF23=4)," "&amp;'Matriz Riesgo'!A23&amp;","," "),IF(AND('Matriz Riesgo'!Z24=3,'Matriz Riesgo'!AF24=4)," "&amp;'Matriz Riesgo'!A24&amp;","," "),IF(AND('Matriz Riesgo'!Z25=3,'Matriz Riesgo'!AF25=4)," "&amp;'Matriz Riesgo'!A25&amp;","," "),IF(AND('Matriz Riesgo'!Z26=3,'Matriz Riesgo'!AF26=4)," "&amp;'Matriz Riesgo'!A26&amp;","," "),IF(AND('Matriz Riesgo'!Z27=3,'Matriz Riesgo'!AF27=4)," "&amp;'Matriz Riesgo'!A27," "))</f>
        <v xml:space="preserve">                     </v>
      </c>
      <c r="I17" s="7" t="str">
        <f>CONCATENATE(IF(AND('Matriz Riesgo'!Z7=3,'Matriz Riesgo'!AF7=5)," "&amp;'Matriz Riesgo'!A7&amp;","," "),IF(AND('Matriz Riesgo'!Z8=3,'Matriz Riesgo'!AF8=5)," "&amp;'Matriz Riesgo'!A8&amp;","," "),IF(AND('Matriz Riesgo'!Z9=3,'Matriz Riesgo'!AF9=5)," "&amp;'Matriz Riesgo'!A9&amp;","," "),IF(AND('Matriz Riesgo'!Z10=3,'Matriz Riesgo'!AF10=5)," "&amp;'Matriz Riesgo'!A10&amp;","," "),IF(AND('Matriz Riesgo'!Z11=3,'Matriz Riesgo'!AF11=5)," "&amp;'Matriz Riesgo'!A11&amp;","," "),IF(AND('Matriz Riesgo'!Z12=3,'Matriz Riesgo'!AF12=5)," "&amp;'Matriz Riesgo'!A12&amp;","," "),IF(AND('Matriz Riesgo'!Z13=3,'Matriz Riesgo'!AF13=5)," "&amp;'Matriz Riesgo'!A13&amp;","," "),IF(AND('Matriz Riesgo'!Z14=3,'Matriz Riesgo'!AF14=5)," "&amp;'Matriz Riesgo'!A14&amp;","," "),IF(AND('Matriz Riesgo'!Z15=3,'Matriz Riesgo'!AF15=5)," "&amp;'Matriz Riesgo'!A15&amp;","," "),IF(AND('Matriz Riesgo'!Z16=3,'Matriz Riesgo'!AF16=5)," "&amp;'Matriz Riesgo'!A16&amp;","," "),IF(AND('Matriz Riesgo'!Z17=3,'Matriz Riesgo'!AF17=5)," "&amp;'Matriz Riesgo'!A17&amp;","," "),IF(AND('Matriz Riesgo'!Z18=3,'Matriz Riesgo'!AF18=5)," "&amp;'Matriz Riesgo'!A18&amp;","," "),IF(AND('Matriz Riesgo'!Z19=3,'Matriz Riesgo'!AF19=5)," "&amp;'Matriz Riesgo'!A19&amp;","," "),IF(AND('Matriz Riesgo'!Z20=3,'Matriz Riesgo'!AF20=5)," "&amp;'Matriz Riesgo'!A20&amp;","," "),IF(AND('Matriz Riesgo'!Z21=3,'Matriz Riesgo'!AF21=5)," "&amp;'Matriz Riesgo'!A21&amp;","," "),IF(AND('Matriz Riesgo'!Z22=3,'Matriz Riesgo'!AF22=5)," "&amp;'Matriz Riesgo'!A22&amp;","," "),IF(AND('Matriz Riesgo'!Z23=3,'Matriz Riesgo'!AF23=5)," "&amp;'Matriz Riesgo'!A23&amp;","," "),IF(AND('Matriz Riesgo'!Z24=3,'Matriz Riesgo'!AF24=5)," "&amp;'Matriz Riesgo'!A24&amp;","," "),IF(AND('Matriz Riesgo'!Z25=3,'Matriz Riesgo'!AF25=5)," "&amp;'Matriz Riesgo'!A25&amp;","," "),IF(AND('Matriz Riesgo'!Z26=3,'Matriz Riesgo'!AF26=5)," "&amp;'Matriz Riesgo'!A26&amp;","," "),IF(AND('Matriz Riesgo'!Z27=3,'Matriz Riesgo'!AF27=5)," "&amp;'Matriz Riesgo'!A27," "))</f>
        <v xml:space="preserve">                     </v>
      </c>
      <c r="L17" s="14"/>
      <c r="M17" s="14"/>
      <c r="U17">
        <v>2</v>
      </c>
      <c r="V17">
        <v>3</v>
      </c>
      <c r="W17">
        <v>6</v>
      </c>
    </row>
    <row r="18" spans="2:23" ht="18.600000000000001" thickBot="1" x14ac:dyDescent="0.35">
      <c r="B18" s="52">
        <v>2</v>
      </c>
      <c r="C18" s="129"/>
      <c r="D18" s="20" t="s">
        <v>39</v>
      </c>
      <c r="E18" s="9" t="str">
        <f>CONCATENATE(IF(AND('Matriz Riesgo'!Z7=2,'Matriz Riesgo'!AF7=1)," "&amp;'Matriz Riesgo'!A7&amp;","," "),IF(AND('Matriz Riesgo'!Z8=2,'Matriz Riesgo'!AF8=1)," "&amp;'Matriz Riesgo'!A8&amp;","," "),IF(AND('Matriz Riesgo'!Z9=2,'Matriz Riesgo'!AF9=1)," "&amp;'Matriz Riesgo'!A9&amp;","," "),IF(AND('Matriz Riesgo'!Z10=2,'Matriz Riesgo'!AF10=1)," "&amp;'Matriz Riesgo'!A10&amp;","," "),IF(AND('Matriz Riesgo'!Z11=2,'Matriz Riesgo'!AF11=1)," "&amp;'Matriz Riesgo'!A11&amp;","," "),IF(AND('Matriz Riesgo'!Z12=2,'Matriz Riesgo'!AF12=1)," "&amp;'Matriz Riesgo'!A12&amp;","," "),IF(AND('Matriz Riesgo'!Z13=2,'Matriz Riesgo'!AF13=1)," "&amp;'Matriz Riesgo'!A13&amp;","," "),IF(AND('Matriz Riesgo'!Z14=2,'Matriz Riesgo'!AF14=1)," "&amp;'Matriz Riesgo'!A14&amp;","," "),IF(AND('Matriz Riesgo'!Z15=2,'Matriz Riesgo'!AF15=1)," "&amp;'Matriz Riesgo'!A15&amp;","," "),IF(AND('Matriz Riesgo'!Z16=2,'Matriz Riesgo'!AF16=1)," "&amp;'Matriz Riesgo'!A16&amp;","," "),IF(AND('Matriz Riesgo'!Z17=2,'Matriz Riesgo'!AF17=1)," "&amp;'Matriz Riesgo'!A17&amp;","," "),IF(AND('Matriz Riesgo'!Z18=2,'Matriz Riesgo'!AF18=1)," "&amp;'Matriz Riesgo'!A18&amp;","," "),IF(AND('Matriz Riesgo'!Z19=2,'Matriz Riesgo'!AF19=1)," "&amp;'Matriz Riesgo'!A19&amp;","," "),IF(AND('Matriz Riesgo'!Z20=2,'Matriz Riesgo'!AF20=1)," "&amp;'Matriz Riesgo'!A20&amp;","," "),IF(AND('Matriz Riesgo'!Z21=2,'Matriz Riesgo'!AF21=1)," "&amp;'Matriz Riesgo'!A21&amp;","," "),IF(AND('Matriz Riesgo'!Z22=2,'Matriz Riesgo'!AF22=1)," "&amp;'Matriz Riesgo'!A22&amp;","," "),IF(AND('Matriz Riesgo'!Z23=2,'Matriz Riesgo'!AF23=1)," "&amp;'Matriz Riesgo'!A23&amp;","," "),IF(AND('Matriz Riesgo'!Z24=2,'Matriz Riesgo'!AF24=1)," "&amp;'Matriz Riesgo'!A24&amp;","," "),IF(AND('Matriz Riesgo'!Z25=2,'Matriz Riesgo'!AF25=1)," "&amp;'Matriz Riesgo'!A25&amp;","," "),IF(AND('Matriz Riesgo'!Z26=2,'Matriz Riesgo'!AF26=1)," "&amp;'Matriz Riesgo'!A26&amp;","," "),IF(AND('Matriz Riesgo'!Z27=2,'Matriz Riesgo'!AF27=1)," "&amp;'Matriz Riesgo'!A27," "))</f>
        <v xml:space="preserve">                     </v>
      </c>
      <c r="F18" s="5" t="str">
        <f>CONCATENATE(IF(AND('Matriz Riesgo'!Z7=2,'Matriz Riesgo'!AF7=2)," "&amp;'Matriz Riesgo'!A7&amp;","," "),IF(AND('Matriz Riesgo'!Z8=2,'Matriz Riesgo'!AF8=2)," "&amp;'Matriz Riesgo'!A8&amp;","," "),IF(AND('Matriz Riesgo'!Z9=2,'Matriz Riesgo'!AF9=2)," "&amp;'Matriz Riesgo'!A9&amp;","," "),IF(AND('Matriz Riesgo'!Z10=2,'Matriz Riesgo'!AF10=2)," "&amp;'Matriz Riesgo'!A10&amp;","," "),IF(AND('Matriz Riesgo'!Z11=2,'Matriz Riesgo'!AF11=2)," "&amp;'Matriz Riesgo'!A11&amp;","," "),IF(AND('Matriz Riesgo'!Z12=2,'Matriz Riesgo'!AF12=2)," "&amp;'Matriz Riesgo'!A12&amp;","," "),IF(AND('Matriz Riesgo'!Z13=2,'Matriz Riesgo'!AF13=2)," "&amp;'Matriz Riesgo'!A13&amp;","," "),IF(AND('Matriz Riesgo'!Z14=2,'Matriz Riesgo'!AF14=2)," "&amp;'Matriz Riesgo'!A14&amp;","," "),IF(AND('Matriz Riesgo'!Z15=2,'Matriz Riesgo'!AF15=2)," "&amp;'Matriz Riesgo'!A15&amp;","," "),IF(AND('Matriz Riesgo'!Z16=2,'Matriz Riesgo'!AF16=2)," "&amp;'Matriz Riesgo'!A16&amp;","," "),IF(AND('Matriz Riesgo'!Z17=2,'Matriz Riesgo'!AF17=2)," "&amp;'Matriz Riesgo'!A17&amp;","," "),IF(AND('Matriz Riesgo'!Z18=2,'Matriz Riesgo'!AF18=2)," "&amp;'Matriz Riesgo'!A18&amp;","," "),IF(AND('Matriz Riesgo'!Z19=2,'Matriz Riesgo'!AF19=2)," "&amp;'Matriz Riesgo'!A19&amp;","," "),IF(AND('Matriz Riesgo'!Z20=2,'Matriz Riesgo'!AF20=2)," "&amp;'Matriz Riesgo'!A20&amp;","," "),IF(AND('Matriz Riesgo'!Z21=2,'Matriz Riesgo'!AF21=2)," "&amp;'Matriz Riesgo'!A21&amp;","," "),IF(AND('Matriz Riesgo'!Z22=2,'Matriz Riesgo'!AF22=2)," "&amp;'Matriz Riesgo'!A22&amp;","," "),IF(AND('Matriz Riesgo'!Z23=2,'Matriz Riesgo'!AF23=2)," "&amp;'Matriz Riesgo'!A23&amp;","," "),IF(AND('Matriz Riesgo'!Z24=2,'Matriz Riesgo'!AF24=2)," "&amp;'Matriz Riesgo'!A24&amp;","," "),IF(AND('Matriz Riesgo'!Z25=2,'Matriz Riesgo'!AF25=2)," "&amp;'Matriz Riesgo'!A25&amp;","," "),IF(AND('Matriz Riesgo'!Z26=2,'Matriz Riesgo'!AF26=2)," "&amp;'Matriz Riesgo'!A26&amp;","," "),IF(AND('Matriz Riesgo'!Z27=2,'Matriz Riesgo'!AF27=2)," "&amp;'Matriz Riesgo'!A27," "))</f>
        <v xml:space="preserve"> 1,       8,  10,           </v>
      </c>
      <c r="G18" s="53" t="str">
        <f>CONCATENATE(IF(AND('Matriz Riesgo'!Z7=2,'Matriz Riesgo'!AF7=3)," "&amp;'Matriz Riesgo'!A7&amp;","," "),IF(AND('Matriz Riesgo'!Z8=2,'Matriz Riesgo'!AF8=3)," "&amp;'Matriz Riesgo'!A8&amp;","," "),IF(AND('Matriz Riesgo'!Z9=2,'Matriz Riesgo'!AF9=3)," "&amp;'Matriz Riesgo'!A9&amp;","," "),IF(AND('Matriz Riesgo'!Z10=2,'Matriz Riesgo'!AF10=3)," "&amp;'Matriz Riesgo'!A10&amp;","," "),IF(AND('Matriz Riesgo'!Z11=2,'Matriz Riesgo'!AF11=3)," "&amp;'Matriz Riesgo'!A11&amp;","," "),IF(AND('Matriz Riesgo'!Z12=2,'Matriz Riesgo'!AF12=3)," "&amp;'Matriz Riesgo'!A12&amp;","," "),IF(AND('Matriz Riesgo'!Z13=2,'Matriz Riesgo'!AF13=3)," "&amp;'Matriz Riesgo'!A13&amp;","," "),IF(AND('Matriz Riesgo'!Z14=2,'Matriz Riesgo'!AF14=3)," "&amp;'Matriz Riesgo'!A14&amp;","," "),IF(AND('Matriz Riesgo'!Z15=2,'Matriz Riesgo'!AF15=3)," "&amp;'Matriz Riesgo'!A15&amp;","," "),IF(AND('Matriz Riesgo'!Z16=2,'Matriz Riesgo'!AF16=3)," "&amp;'Matriz Riesgo'!A16&amp;","," "),IF(AND('Matriz Riesgo'!Z17=2,'Matriz Riesgo'!AF17=3)," "&amp;'Matriz Riesgo'!A17&amp;","," "),IF(AND('Matriz Riesgo'!Z18=2,'Matriz Riesgo'!AF18=3)," "&amp;'Matriz Riesgo'!A18&amp;","," "),IF(AND('Matriz Riesgo'!Z19=2,'Matriz Riesgo'!AF19=3)," "&amp;'Matriz Riesgo'!A19&amp;","," "),IF(AND('Matriz Riesgo'!Z20=2,'Matriz Riesgo'!AF20=3)," "&amp;'Matriz Riesgo'!A20&amp;","," "),IF(AND('Matriz Riesgo'!Z21=2,'Matriz Riesgo'!AF21=3)," "&amp;'Matriz Riesgo'!A21&amp;","," "),IF(AND('Matriz Riesgo'!Z22=2,'Matriz Riesgo'!AF22=3)," "&amp;'Matriz Riesgo'!A22&amp;","," "),IF(AND('Matriz Riesgo'!Z23=2,'Matriz Riesgo'!AF23=3)," "&amp;'Matriz Riesgo'!A23&amp;","," "),IF(AND('Matriz Riesgo'!Z24=2,'Matriz Riesgo'!AF24=3)," "&amp;'Matriz Riesgo'!A24&amp;","," "),IF(AND('Matriz Riesgo'!Z25=2,'Matriz Riesgo'!AF25=3)," "&amp;'Matriz Riesgo'!A25&amp;","," "),IF(AND('Matriz Riesgo'!Z26=2,'Matriz Riesgo'!AF26=3)," "&amp;'Matriz Riesgo'!A26&amp;","," "),IF(AND('Matriz Riesgo'!Z27=2,'Matriz Riesgo'!AF27=3)," "&amp;'Matriz Riesgo'!A27," "))</f>
        <v xml:space="preserve">  2,               17,    </v>
      </c>
      <c r="H18" s="6" t="str">
        <f>CONCATENATE(IF(AND('Matriz Riesgo'!Z7=2,'Matriz Riesgo'!AF7=4)," "&amp;'Matriz Riesgo'!A7&amp;","," "),IF(AND('Matriz Riesgo'!Z8=2,'Matriz Riesgo'!AF8=4)," "&amp;'Matriz Riesgo'!A8&amp;","," "),IF(AND('Matriz Riesgo'!Z9=2,'Matriz Riesgo'!AF9=4)," "&amp;'Matriz Riesgo'!A9&amp;","," "),IF(AND('Matriz Riesgo'!Z10=2,'Matriz Riesgo'!AF10=4)," "&amp;'Matriz Riesgo'!A10&amp;","," "),IF(AND('Matriz Riesgo'!Z11=2,'Matriz Riesgo'!AF11=4)," "&amp;'Matriz Riesgo'!A11&amp;","," "),IF(AND('Matriz Riesgo'!Z12=2,'Matriz Riesgo'!AF12=4)," "&amp;'Matriz Riesgo'!A12&amp;","," "),IF(AND('Matriz Riesgo'!Z13=2,'Matriz Riesgo'!AF13=4)," "&amp;'Matriz Riesgo'!A13&amp;","," "),IF(AND('Matriz Riesgo'!Z14=2,'Matriz Riesgo'!AF14=4)," "&amp;'Matriz Riesgo'!A14&amp;","," "),IF(AND('Matriz Riesgo'!Z15=2,'Matriz Riesgo'!AF15=4)," "&amp;'Matriz Riesgo'!A15&amp;","," "),IF(AND('Matriz Riesgo'!Z16=2,'Matriz Riesgo'!AF16=4)," "&amp;'Matriz Riesgo'!A16&amp;","," "),IF(AND('Matriz Riesgo'!Z17=2,'Matriz Riesgo'!AF17=4)," "&amp;'Matriz Riesgo'!A17&amp;","," "),IF(AND('Matriz Riesgo'!Z18=2,'Matriz Riesgo'!AF18=4)," "&amp;'Matriz Riesgo'!A18&amp;","," "),IF(AND('Matriz Riesgo'!Z19=2,'Matriz Riesgo'!AF19=4)," "&amp;'Matriz Riesgo'!A19&amp;","," "),IF(AND('Matriz Riesgo'!Z20=2,'Matriz Riesgo'!AF20=4)," "&amp;'Matriz Riesgo'!A20&amp;","," "),IF(AND('Matriz Riesgo'!Z21=2,'Matriz Riesgo'!AF21=4)," "&amp;'Matriz Riesgo'!A21&amp;","," "),IF(AND('Matriz Riesgo'!Z22=2,'Matriz Riesgo'!AF22=4)," "&amp;'Matriz Riesgo'!A22&amp;","," "),IF(AND('Matriz Riesgo'!Z23=2,'Matriz Riesgo'!AF23=4)," "&amp;'Matriz Riesgo'!A23&amp;","," "),IF(AND('Matriz Riesgo'!Z24=2,'Matriz Riesgo'!AF24=4)," "&amp;'Matriz Riesgo'!A24&amp;","," "),IF(AND('Matriz Riesgo'!Z25=2,'Matriz Riesgo'!AF25=4)," "&amp;'Matriz Riesgo'!A25&amp;","," "),IF(AND('Matriz Riesgo'!Z26=2,'Matriz Riesgo'!AF26=4)," "&amp;'Matriz Riesgo'!A26&amp;","," "),IF(AND('Matriz Riesgo'!Z27=2,'Matriz Riesgo'!AF27=4)," "&amp;'Matriz Riesgo'!A27," "))</f>
        <v xml:space="preserve">                     </v>
      </c>
      <c r="I18" s="7" t="str">
        <f>CONCATENATE(IF(AND('Matriz Riesgo'!Z7=2,'Matriz Riesgo'!AF7=5)," "&amp;'Matriz Riesgo'!A7&amp;","," "),IF(AND('Matriz Riesgo'!Z8=2,'Matriz Riesgo'!AF8=5)," "&amp;'Matriz Riesgo'!A8&amp;","," "),IF(AND('Matriz Riesgo'!Z9=2,'Matriz Riesgo'!AF9=5)," "&amp;'Matriz Riesgo'!A9&amp;","," "),IF(AND('Matriz Riesgo'!Z10=2,'Matriz Riesgo'!AF10=5)," "&amp;'Matriz Riesgo'!A10&amp;","," "),IF(AND('Matriz Riesgo'!Z11=2,'Matriz Riesgo'!AF11=5)," "&amp;'Matriz Riesgo'!A11&amp;","," "),IF(AND('Matriz Riesgo'!Z12=2,'Matriz Riesgo'!AF12=5)," "&amp;'Matriz Riesgo'!A12&amp;","," "),IF(AND('Matriz Riesgo'!Z13=2,'Matriz Riesgo'!AF13=5)," "&amp;'Matriz Riesgo'!A13&amp;","," "),IF(AND('Matriz Riesgo'!Z14=2,'Matriz Riesgo'!AF14=5)," "&amp;'Matriz Riesgo'!A14&amp;","," "),IF(AND('Matriz Riesgo'!Z15=2,'Matriz Riesgo'!AF15=5)," "&amp;'Matriz Riesgo'!A15&amp;","," "),IF(AND('Matriz Riesgo'!Z16=2,'Matriz Riesgo'!AF16=5)," "&amp;'Matriz Riesgo'!A16&amp;","," "),IF(AND('Matriz Riesgo'!Z17=2,'Matriz Riesgo'!AF17=5)," "&amp;'Matriz Riesgo'!A17&amp;","," "),IF(AND('Matriz Riesgo'!Z18=2,'Matriz Riesgo'!AF18=5)," "&amp;'Matriz Riesgo'!A18&amp;","," "),IF(AND('Matriz Riesgo'!Z19=2,'Matriz Riesgo'!AF19=5)," "&amp;'Matriz Riesgo'!A19&amp;","," "),IF(AND('Matriz Riesgo'!Z20=2,'Matriz Riesgo'!AF20=5)," "&amp;'Matriz Riesgo'!A20&amp;","," "),IF(AND('Matriz Riesgo'!Z21=2,'Matriz Riesgo'!AF21=5)," "&amp;'Matriz Riesgo'!A21&amp;","," "),IF(AND('Matriz Riesgo'!Z22=2,'Matriz Riesgo'!AF22=5)," "&amp;'Matriz Riesgo'!A22&amp;","," "),IF(AND('Matriz Riesgo'!Z23=2,'Matriz Riesgo'!AF23=5)," "&amp;'Matriz Riesgo'!A23&amp;","," "),IF(AND('Matriz Riesgo'!Z24=2,'Matriz Riesgo'!AF24=5)," "&amp;'Matriz Riesgo'!A24&amp;","," "),IF(AND('Matriz Riesgo'!Z25=2,'Matriz Riesgo'!AF25=5)," "&amp;'Matriz Riesgo'!A25&amp;","," "),IF(AND('Matriz Riesgo'!Z26=2,'Matriz Riesgo'!AF26=5)," "&amp;'Matriz Riesgo'!A26&amp;","," "),IF(AND('Matriz Riesgo'!Z27=2,'Matriz Riesgo'!AF27=5)," "&amp;'Matriz Riesgo'!A27," "))</f>
        <v xml:space="preserve">                     </v>
      </c>
      <c r="L18" s="14"/>
      <c r="M18" s="14"/>
      <c r="U18">
        <v>1</v>
      </c>
      <c r="V18">
        <v>3</v>
      </c>
      <c r="W18">
        <v>3</v>
      </c>
    </row>
    <row r="19" spans="2:23" ht="36.75" customHeight="1" thickBot="1" x14ac:dyDescent="0.35">
      <c r="B19" s="52">
        <v>1</v>
      </c>
      <c r="C19" s="130"/>
      <c r="D19" s="20" t="s">
        <v>40</v>
      </c>
      <c r="E19" s="54" t="str">
        <f>CONCATENATE(IF(AND('Matriz Riesgo'!Z7=1,'Matriz Riesgo'!AF7=1)," "&amp;'Matriz Riesgo'!A7&amp;","," "),IF(AND('Matriz Riesgo'!Z8=1,'Matriz Riesgo'!AF8=1)," "&amp;'Matriz Riesgo'!A8&amp;","," "),IF(AND('Matriz Riesgo'!Z9=1,'Matriz Riesgo'!AF9=1)," "&amp;'Matriz Riesgo'!A9&amp;","," "),IF(AND('Matriz Riesgo'!Z10=1,'Matriz Riesgo'!AF10=1)," "&amp;'Matriz Riesgo'!A10&amp;","," "),IF(AND('Matriz Riesgo'!Z11=1,'Matriz Riesgo'!AF11=1)," "&amp;'Matriz Riesgo'!A11&amp;","," "),IF(AND('Matriz Riesgo'!Z12=1,'Matriz Riesgo'!AF12=1)," "&amp;'Matriz Riesgo'!A12&amp;","," "),IF(AND('Matriz Riesgo'!Z13=1,'Matriz Riesgo'!AF13=1)," "&amp;'Matriz Riesgo'!A13&amp;","," "),IF(AND('Matriz Riesgo'!Z14=1,'Matriz Riesgo'!AF14=1)," "&amp;'Matriz Riesgo'!A14&amp;","," "),IF(AND('Matriz Riesgo'!Z15=1,'Matriz Riesgo'!AF15=1)," "&amp;'Matriz Riesgo'!A15&amp;","," "),IF(AND('Matriz Riesgo'!Z16=1,'Matriz Riesgo'!AF16=1)," "&amp;'Matriz Riesgo'!A16&amp;","," "),IF(AND('Matriz Riesgo'!Z17=1,'Matriz Riesgo'!AF17=1)," "&amp;'Matriz Riesgo'!A17&amp;","," "),IF(AND('Matriz Riesgo'!Z18=1,'Matriz Riesgo'!AF18=1)," "&amp;'Matriz Riesgo'!A18&amp;","," "),IF(AND('Matriz Riesgo'!Z19=1,'Matriz Riesgo'!AF19=1)," "&amp;'Matriz Riesgo'!A19&amp;","," "),IF(AND('Matriz Riesgo'!Z20=1,'Matriz Riesgo'!AF20=1)," "&amp;'Matriz Riesgo'!A20&amp;","," "),IF(AND('Matriz Riesgo'!Z21=1,'Matriz Riesgo'!AF21=1)," "&amp;'Matriz Riesgo'!A21&amp;","," "),IF(AND('Matriz Riesgo'!Z22=1,'Matriz Riesgo'!AF22=1)," "&amp;'Matriz Riesgo'!A22&amp;","," "),IF(AND('Matriz Riesgo'!Z23=1,'Matriz Riesgo'!AF23=1)," "&amp;'Matriz Riesgo'!A23&amp;","," "),IF(AND('Matriz Riesgo'!Z24=1,'Matriz Riesgo'!AF24=1)," "&amp;'Matriz Riesgo'!A24&amp;","," "),IF(AND('Matriz Riesgo'!Z25=1,'Matriz Riesgo'!AF25=1)," "&amp;'Matriz Riesgo'!A25&amp;","," "),IF(AND('Matriz Riesgo'!Z26=1,'Matriz Riesgo'!AF26=1)," "&amp;'Matriz Riesgo'!A26&amp;","," "),IF(AND('Matriz Riesgo'!Z27=1,'Matriz Riesgo'!AF27=1)," "&amp;'Matriz Riesgo'!A27," "))</f>
        <v xml:space="preserve">       7,     12, 13,        </v>
      </c>
      <c r="F19" s="88" t="str">
        <f>CONCATENATE(IF(AND('Matriz Riesgo'!Z7=1,'Matriz Riesgo'!AF7=2)," "&amp;'Matriz Riesgo'!A7&amp;","," "),IF(AND('Matriz Riesgo'!Z8=1,'Matriz Riesgo'!AF8=2)," "&amp;'Matriz Riesgo'!A8&amp;","," "),IF(AND('Matriz Riesgo'!Z9=1,'Matriz Riesgo'!AF9=2)," "&amp;'Matriz Riesgo'!A9&amp;","," "),IF(AND('Matriz Riesgo'!Z10=1,'Matriz Riesgo'!AF10=2)," "&amp;'Matriz Riesgo'!A10&amp;","," "),IF(AND('Matriz Riesgo'!Z11=1,'Matriz Riesgo'!AF11=2)," "&amp;'Matriz Riesgo'!A11&amp;","," "),IF(AND('Matriz Riesgo'!Z12=1,'Matriz Riesgo'!AF12=2)," "&amp;'Matriz Riesgo'!A12&amp;","," "),IF(AND('Matriz Riesgo'!Z13=1,'Matriz Riesgo'!AF13=2)," "&amp;'Matriz Riesgo'!A13&amp;","," "),IF(AND('Matriz Riesgo'!Z14=1,'Matriz Riesgo'!AF14=2)," "&amp;'Matriz Riesgo'!A14&amp;","," "),IF(AND('Matriz Riesgo'!Z15=1,'Matriz Riesgo'!AF15=2)," "&amp;'Matriz Riesgo'!A15&amp;","," "),IF(AND('Matriz Riesgo'!Z16=1,'Matriz Riesgo'!AF16=2)," "&amp;'Matriz Riesgo'!A16&amp;","," "),IF(AND('Matriz Riesgo'!Z17=1,'Matriz Riesgo'!AF17=2)," "&amp;'Matriz Riesgo'!A17&amp;","," "),IF(AND('Matriz Riesgo'!Z18=1,'Matriz Riesgo'!AF18=2)," "&amp;'Matriz Riesgo'!A18&amp;","," "),IF(AND('Matriz Riesgo'!Z19=1,'Matriz Riesgo'!AF19=2)," "&amp;'Matriz Riesgo'!A19&amp;","," "),IF(AND('Matriz Riesgo'!Z20=1,'Matriz Riesgo'!AF20=2)," "&amp;'Matriz Riesgo'!A20&amp;","," "),IF(AND('Matriz Riesgo'!Z21=1,'Matriz Riesgo'!AF21=2)," "&amp;'Matriz Riesgo'!A21&amp;","," "),IF(AND('Matriz Riesgo'!Z22=1,'Matriz Riesgo'!AF22=2)," "&amp;'Matriz Riesgo'!A22&amp;","," "),IF(AND('Matriz Riesgo'!Z23=1,'Matriz Riesgo'!AF23=2)," "&amp;'Matriz Riesgo'!A23&amp;","," "),IF(AND('Matriz Riesgo'!Z24=1,'Matriz Riesgo'!AF24=2)," "&amp;'Matriz Riesgo'!A24&amp;","," "),IF(AND('Matriz Riesgo'!Z25=1,'Matriz Riesgo'!AF25=2)," "&amp;'Matriz Riesgo'!A25&amp;","," "),IF(AND('Matriz Riesgo'!Z26=1,'Matriz Riesgo'!AF26=2)," "&amp;'Matriz Riesgo'!A26&amp;","," "),IF(AND('Matriz Riesgo'!Z27=1,'Matriz Riesgo'!AF27=2)," "&amp;'Matriz Riesgo'!A27," "))</f>
        <v xml:space="preserve">                     </v>
      </c>
      <c r="G19" s="55" t="str">
        <f>CONCATENATE(IF(AND('Matriz Riesgo'!Z7=1,'Matriz Riesgo'!AF7=3)," "&amp;'Matriz Riesgo'!A7&amp;","," "),IF(AND('Matriz Riesgo'!Z8=1,'Matriz Riesgo'!AF8=3)," "&amp;'Matriz Riesgo'!A8&amp;","," "),IF(AND('Matriz Riesgo'!Z9=1,'Matriz Riesgo'!AF9=3)," "&amp;'Matriz Riesgo'!A9&amp;","," "),IF(AND('Matriz Riesgo'!Z10=1,'Matriz Riesgo'!AF10=3)," "&amp;'Matriz Riesgo'!A10&amp;","," "),IF(AND('Matriz Riesgo'!Z11=1,'Matriz Riesgo'!AF11=3)," "&amp;'Matriz Riesgo'!A11&amp;","," "),IF(AND('Matriz Riesgo'!Z12=1,'Matriz Riesgo'!AF12=3)," "&amp;'Matriz Riesgo'!A12&amp;","," "),IF(AND('Matriz Riesgo'!Z13=1,'Matriz Riesgo'!AF13=3)," "&amp;'Matriz Riesgo'!A13&amp;","," "),IF(AND('Matriz Riesgo'!Z14=1,'Matriz Riesgo'!AF14=3)," "&amp;'Matriz Riesgo'!A14&amp;","," "),IF(AND('Matriz Riesgo'!Z15=1,'Matriz Riesgo'!AF15=3)," "&amp;'Matriz Riesgo'!A15&amp;","," "),IF(AND('Matriz Riesgo'!Z16=1,'Matriz Riesgo'!AF16=3)," "&amp;'Matriz Riesgo'!A16&amp;","," "),IF(AND('Matriz Riesgo'!Z17=1,'Matriz Riesgo'!AF17=3)," "&amp;'Matriz Riesgo'!A17&amp;","," "),IF(AND('Matriz Riesgo'!Z18=1,'Matriz Riesgo'!AF18=3)," "&amp;'Matriz Riesgo'!A18&amp;","," "),IF(AND('Matriz Riesgo'!Z19=1,'Matriz Riesgo'!AF19=3)," "&amp;'Matriz Riesgo'!A19&amp;","," "),IF(AND('Matriz Riesgo'!Z20=1,'Matriz Riesgo'!AF20=3)," "&amp;'Matriz Riesgo'!A20&amp;","," "),IF(AND('Matriz Riesgo'!Z21=1,'Matriz Riesgo'!AF21=3)," "&amp;'Matriz Riesgo'!A21&amp;","," "),IF(AND('Matriz Riesgo'!Z22=1,'Matriz Riesgo'!AF22=3)," "&amp;'Matriz Riesgo'!A22&amp;","," "),IF(AND('Matriz Riesgo'!Z23=1,'Matriz Riesgo'!AF23=3)," "&amp;'Matriz Riesgo'!A23&amp;","," "),IF(AND('Matriz Riesgo'!Z24=1,'Matriz Riesgo'!AF24=3)," "&amp;'Matriz Riesgo'!A24&amp;","," "),IF(AND('Matriz Riesgo'!Z25=1,'Matriz Riesgo'!AF25=3)," "&amp;'Matriz Riesgo'!A25&amp;","," "),IF(AND('Matriz Riesgo'!Z26=1,'Matriz Riesgo'!AF26=3)," "&amp;'Matriz Riesgo'!A26&amp;","," "),IF(AND('Matriz Riesgo'!Z27=1,'Matriz Riesgo'!AF27=3)," "&amp;'Matriz Riesgo'!A27," "))</f>
        <v xml:space="preserve">   3, 4, 5, 6,   9,  11,   14,  16,  18, 19,  </v>
      </c>
      <c r="H19" s="5" t="str">
        <f>CONCATENATE(IF(AND('Matriz Riesgo'!Z7=1,'Matriz Riesgo'!AF7=4)," "&amp;'Matriz Riesgo'!A7&amp;","," "),IF(AND('Matriz Riesgo'!Z8=1,'Matriz Riesgo'!AF8=4)," "&amp;'Matriz Riesgo'!A8&amp;","," "),IF(AND('Matriz Riesgo'!Z9=1,'Matriz Riesgo'!AF9=4)," "&amp;'Matriz Riesgo'!A9&amp;","," "),IF(AND('Matriz Riesgo'!Z10=1,'Matriz Riesgo'!AF10=4)," "&amp;'Matriz Riesgo'!A10&amp;","," "),IF(AND('Matriz Riesgo'!Z11=1,'Matriz Riesgo'!AF11=4)," "&amp;'Matriz Riesgo'!A11&amp;","," "),IF(AND('Matriz Riesgo'!Z12=1,'Matriz Riesgo'!AF12=4)," "&amp;'Matriz Riesgo'!A12&amp;","," "),IF(AND('Matriz Riesgo'!Z13=1,'Matriz Riesgo'!AF13=4)," "&amp;'Matriz Riesgo'!A13&amp;","," "),IF(AND('Matriz Riesgo'!Z14=1,'Matriz Riesgo'!AF14=4)," "&amp;'Matriz Riesgo'!A14&amp;","," "),IF(AND('Matriz Riesgo'!Z15=1,'Matriz Riesgo'!AF15=4)," "&amp;'Matriz Riesgo'!A15&amp;","," "),IF(AND('Matriz Riesgo'!Z16=1,'Matriz Riesgo'!AF16=4)," "&amp;'Matriz Riesgo'!A16&amp;","," "),IF(AND('Matriz Riesgo'!Z17=1,'Matriz Riesgo'!AF17=4)," "&amp;'Matriz Riesgo'!A17&amp;","," "),IF(AND('Matriz Riesgo'!Z18=1,'Matriz Riesgo'!AF18=4)," "&amp;'Matriz Riesgo'!A18&amp;","," "),IF(AND('Matriz Riesgo'!Z19=1,'Matriz Riesgo'!AF19=4)," "&amp;'Matriz Riesgo'!A19&amp;","," "),IF(AND('Matriz Riesgo'!Z20=1,'Matriz Riesgo'!AF20=4)," "&amp;'Matriz Riesgo'!A20&amp;","," "),IF(AND('Matriz Riesgo'!Z21=1,'Matriz Riesgo'!AF21=4)," "&amp;'Matriz Riesgo'!A21&amp;","," "),IF(AND('Matriz Riesgo'!Z22=1,'Matriz Riesgo'!AF22=4)," "&amp;'Matriz Riesgo'!A22&amp;","," "),IF(AND('Matriz Riesgo'!Z23=1,'Matriz Riesgo'!AF23=4)," "&amp;'Matriz Riesgo'!A23&amp;","," "),IF(AND('Matriz Riesgo'!Z24=1,'Matriz Riesgo'!AF24=4)," "&amp;'Matriz Riesgo'!A24&amp;","," "),IF(AND('Matriz Riesgo'!Z25=1,'Matriz Riesgo'!AF25=4)," "&amp;'Matriz Riesgo'!A25&amp;","," "),IF(AND('Matriz Riesgo'!Z26=1,'Matriz Riesgo'!AF26=4)," "&amp;'Matriz Riesgo'!A26&amp;","," "),IF(AND('Matriz Riesgo'!Z27=1,'Matriz Riesgo'!AF27=4)," "&amp;'Matriz Riesgo'!A27," "))</f>
        <v xml:space="preserve">               15,      </v>
      </c>
      <c r="I19" s="6" t="str">
        <f>CONCATENATE(IF(AND('Matriz Riesgo'!Z7=1,'Matriz Riesgo'!AF7=5)," "&amp;'Matriz Riesgo'!A7&amp;","," "),IF(AND('Matriz Riesgo'!Z8=1,'Matriz Riesgo'!AF8=5)," "&amp;'Matriz Riesgo'!A8&amp;","," "),IF(AND('Matriz Riesgo'!Z9=1,'Matriz Riesgo'!AF9=5)," "&amp;'Matriz Riesgo'!A9&amp;","," "),IF(AND('Matriz Riesgo'!Z10=1,'Matriz Riesgo'!AF10=5)," "&amp;'Matriz Riesgo'!A10&amp;","," "),IF(AND('Matriz Riesgo'!Z11=1,'Matriz Riesgo'!AF11=5)," "&amp;'Matriz Riesgo'!A11&amp;","," "),IF(AND('Matriz Riesgo'!Z12=1,'Matriz Riesgo'!AF12=5)," "&amp;'Matriz Riesgo'!A12&amp;","," "),IF(AND('Matriz Riesgo'!Z13=1,'Matriz Riesgo'!AF13=5)," "&amp;'Matriz Riesgo'!A13&amp;","," "),IF(AND('Matriz Riesgo'!Z14=1,'Matriz Riesgo'!AF14=5)," "&amp;'Matriz Riesgo'!A14&amp;","," "),IF(AND('Matriz Riesgo'!Z15=1,'Matriz Riesgo'!AF15=5)," "&amp;'Matriz Riesgo'!A15&amp;","," "),IF(AND('Matriz Riesgo'!Z16=1,'Matriz Riesgo'!AF16=5)," "&amp;'Matriz Riesgo'!A16&amp;","," "),IF(AND('Matriz Riesgo'!Z17=1,'Matriz Riesgo'!AF17=5)," "&amp;'Matriz Riesgo'!A17&amp;","," "),IF(AND('Matriz Riesgo'!Z18=1,'Matriz Riesgo'!AF18=5)," "&amp;'Matriz Riesgo'!A18&amp;","," "),IF(AND('Matriz Riesgo'!Z19=1,'Matriz Riesgo'!AF19=5)," "&amp;'Matriz Riesgo'!A19&amp;","," "),IF(AND('Matriz Riesgo'!Z20=1,'Matriz Riesgo'!AF20=5)," "&amp;'Matriz Riesgo'!A20&amp;","," "),IF(AND('Matriz Riesgo'!Z21=1,'Matriz Riesgo'!AF21=5)," "&amp;'Matriz Riesgo'!A21&amp;","," "),IF(AND('Matriz Riesgo'!Z22=1,'Matriz Riesgo'!AF22=5)," "&amp;'Matriz Riesgo'!A22&amp;","," "),IF(AND('Matriz Riesgo'!Z23=1,'Matriz Riesgo'!AF23=5)," "&amp;'Matriz Riesgo'!A23&amp;","," "),IF(AND('Matriz Riesgo'!Z24=1,'Matriz Riesgo'!AF24=5)," "&amp;'Matriz Riesgo'!A24&amp;","," "),IF(AND('Matriz Riesgo'!Z25=1,'Matriz Riesgo'!AF25=5)," "&amp;'Matriz Riesgo'!A25&amp;","," "),IF(AND('Matriz Riesgo'!Z26=1,'Matriz Riesgo'!AF26=5)," "&amp;'Matriz Riesgo'!A26&amp;","," "),IF(AND('Matriz Riesgo'!Z27=1,'Matriz Riesgo'!AF27=5)," "&amp;'Matriz Riesgo'!A27," "))</f>
        <v xml:space="preserve">                     </v>
      </c>
      <c r="L19" s="14"/>
      <c r="M19" s="14"/>
      <c r="U19">
        <v>5</v>
      </c>
      <c r="V19">
        <v>2</v>
      </c>
      <c r="W19">
        <v>10</v>
      </c>
    </row>
    <row r="20" spans="2:23" ht="15" thickBot="1" x14ac:dyDescent="0.35">
      <c r="E20" s="18" t="s">
        <v>20</v>
      </c>
      <c r="F20" s="19" t="s">
        <v>17</v>
      </c>
      <c r="G20" s="19" t="s">
        <v>11</v>
      </c>
      <c r="H20" s="19" t="s">
        <v>19</v>
      </c>
      <c r="I20" s="19" t="s">
        <v>41</v>
      </c>
      <c r="L20" s="14"/>
      <c r="M20" s="14"/>
      <c r="U20">
        <v>4</v>
      </c>
      <c r="V20">
        <v>2</v>
      </c>
      <c r="W20">
        <v>8</v>
      </c>
    </row>
    <row r="21" spans="2:23" ht="16.2" thickBot="1" x14ac:dyDescent="0.35">
      <c r="E21" s="131" t="s">
        <v>28</v>
      </c>
      <c r="F21" s="132"/>
      <c r="G21" s="132"/>
      <c r="H21" s="132"/>
      <c r="I21" s="133"/>
      <c r="L21" s="14"/>
      <c r="M21" s="14"/>
      <c r="U21">
        <v>3</v>
      </c>
      <c r="V21">
        <v>2</v>
      </c>
      <c r="W21">
        <v>6</v>
      </c>
    </row>
    <row r="22" spans="2:23" ht="15.6" x14ac:dyDescent="0.3">
      <c r="E22" s="51">
        <v>1</v>
      </c>
      <c r="F22" s="51">
        <v>2</v>
      </c>
      <c r="G22" s="51">
        <v>3</v>
      </c>
      <c r="H22" s="51">
        <v>4</v>
      </c>
      <c r="I22" s="51">
        <v>5</v>
      </c>
      <c r="L22" s="14"/>
      <c r="M22" s="14"/>
      <c r="U22">
        <v>2</v>
      </c>
      <c r="V22">
        <v>2</v>
      </c>
      <c r="W22">
        <v>4</v>
      </c>
    </row>
    <row r="23" spans="2:23" x14ac:dyDescent="0.35">
      <c r="L23" s="14"/>
      <c r="M23" s="14"/>
      <c r="U23">
        <v>1</v>
      </c>
      <c r="V23">
        <v>2</v>
      </c>
      <c r="W23">
        <v>2</v>
      </c>
    </row>
    <row r="24" spans="2:23" x14ac:dyDescent="0.35">
      <c r="L24" s="14"/>
      <c r="M24" s="14"/>
      <c r="U24">
        <v>5</v>
      </c>
      <c r="V24">
        <v>1</v>
      </c>
      <c r="W24">
        <v>5</v>
      </c>
    </row>
    <row r="25" spans="2:23" x14ac:dyDescent="0.35">
      <c r="L25" s="14"/>
      <c r="M25" s="14"/>
      <c r="U25">
        <v>4</v>
      </c>
      <c r="V25">
        <v>1</v>
      </c>
      <c r="W25">
        <v>4</v>
      </c>
    </row>
    <row r="26" spans="2:23" x14ac:dyDescent="0.35">
      <c r="L26" s="14"/>
      <c r="M26" s="14"/>
      <c r="U26">
        <v>3</v>
      </c>
      <c r="V26">
        <v>1</v>
      </c>
      <c r="W26">
        <v>3</v>
      </c>
    </row>
    <row r="27" spans="2:23" x14ac:dyDescent="0.35">
      <c r="L27" s="14"/>
      <c r="M27" s="14"/>
      <c r="U27">
        <v>2</v>
      </c>
      <c r="V27">
        <v>1</v>
      </c>
      <c r="W27">
        <v>2</v>
      </c>
    </row>
    <row r="28" spans="2:23" x14ac:dyDescent="0.35">
      <c r="U28">
        <v>1</v>
      </c>
      <c r="V28">
        <v>1</v>
      </c>
      <c r="W28">
        <v>1</v>
      </c>
    </row>
  </sheetData>
  <mergeCells count="4">
    <mergeCell ref="C4:C8"/>
    <mergeCell ref="E10:I10"/>
    <mergeCell ref="C15:C19"/>
    <mergeCell ref="E21:I21"/>
  </mergeCells>
  <pageMargins left="0.70866141732283472" right="0.70866141732283472" top="0.74803149606299213" bottom="0.74803149606299213" header="0.31496062992125984" footer="0.31496062992125984"/>
  <pageSetup paperSize="5" scale="45" orientation="landscape" r:id="rId1"/>
  <headerFooter>
    <oddFooter>&amp;RFABIO ALEJANDRO SANCHEZ FONSECA
Consultor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9"/>
  <sheetViews>
    <sheetView workbookViewId="0">
      <selection activeCell="A8" sqref="A8"/>
    </sheetView>
  </sheetViews>
  <sheetFormatPr baseColWidth="10" defaultColWidth="11.44140625" defaultRowHeight="11.4" x14ac:dyDescent="0.2"/>
  <cols>
    <col min="1" max="1" width="25.77734375" style="77" bestFit="1" customWidth="1"/>
    <col min="2" max="2" width="75.21875" style="77" bestFit="1" customWidth="1"/>
    <col min="3" max="3" width="55.5546875" style="77" customWidth="1"/>
    <col min="4" max="4" width="18.5546875" style="77" bestFit="1" customWidth="1"/>
    <col min="5" max="5" width="18.77734375" style="77" bestFit="1" customWidth="1"/>
    <col min="6" max="6" width="14.21875" style="77" bestFit="1" customWidth="1"/>
    <col min="7" max="7" width="9.44140625" style="77" bestFit="1" customWidth="1"/>
    <col min="8" max="8" width="26.21875" style="77" bestFit="1" customWidth="1"/>
    <col min="9" max="9" width="24.5546875" style="77" bestFit="1" customWidth="1"/>
    <col min="10" max="10" width="34.77734375" style="77" customWidth="1"/>
    <col min="11" max="16384" width="11.44140625" style="77"/>
  </cols>
  <sheetData>
    <row r="1" spans="1:9" ht="12" x14ac:dyDescent="0.25">
      <c r="A1" s="76" t="s">
        <v>102</v>
      </c>
      <c r="B1" s="76" t="s">
        <v>103</v>
      </c>
      <c r="C1" s="76" t="s">
        <v>88</v>
      </c>
      <c r="D1" s="76" t="s">
        <v>229</v>
      </c>
      <c r="E1" s="76" t="s">
        <v>89</v>
      </c>
      <c r="F1" s="76" t="s">
        <v>27</v>
      </c>
      <c r="G1" s="76" t="s">
        <v>28</v>
      </c>
      <c r="H1" s="76" t="s">
        <v>90</v>
      </c>
      <c r="I1" s="76" t="s">
        <v>70</v>
      </c>
    </row>
    <row r="2" spans="1:9" ht="22.8" x14ac:dyDescent="0.25">
      <c r="A2" s="77" t="s">
        <v>231</v>
      </c>
      <c r="B2" s="94" t="s">
        <v>232</v>
      </c>
      <c r="C2" s="95" t="s">
        <v>170</v>
      </c>
      <c r="D2" s="79" t="s">
        <v>18</v>
      </c>
      <c r="E2" s="80" t="s">
        <v>222</v>
      </c>
      <c r="F2" s="81"/>
      <c r="G2" s="81"/>
      <c r="H2" s="81" t="s">
        <v>156</v>
      </c>
      <c r="I2" s="81"/>
    </row>
    <row r="3" spans="1:9" ht="28.8" x14ac:dyDescent="0.2">
      <c r="A3" s="77" t="s">
        <v>242</v>
      </c>
      <c r="B3" s="98" t="s">
        <v>112</v>
      </c>
      <c r="C3" s="83" t="s">
        <v>171</v>
      </c>
      <c r="D3" s="79" t="s">
        <v>86</v>
      </c>
      <c r="E3" s="80" t="s">
        <v>215</v>
      </c>
      <c r="F3" s="89" t="s">
        <v>29</v>
      </c>
      <c r="G3" s="80" t="s">
        <v>30</v>
      </c>
      <c r="H3" s="86" t="s">
        <v>238</v>
      </c>
      <c r="I3" s="80" t="s">
        <v>27</v>
      </c>
    </row>
    <row r="4" spans="1:9" ht="22.8" x14ac:dyDescent="0.2">
      <c r="A4" s="96" t="s">
        <v>230</v>
      </c>
      <c r="B4" s="78" t="s">
        <v>105</v>
      </c>
      <c r="C4" s="83" t="s">
        <v>172</v>
      </c>
      <c r="D4" s="79" t="s">
        <v>10</v>
      </c>
      <c r="E4" s="80" t="s">
        <v>25</v>
      </c>
      <c r="F4" s="90" t="s">
        <v>13</v>
      </c>
      <c r="G4" s="80" t="s">
        <v>31</v>
      </c>
      <c r="H4" s="35" t="s">
        <v>134</v>
      </c>
      <c r="I4" s="80" t="s">
        <v>28</v>
      </c>
    </row>
    <row r="5" spans="1:9" ht="14.4" x14ac:dyDescent="0.2">
      <c r="A5" s="77" t="s">
        <v>243</v>
      </c>
      <c r="B5" s="78" t="s">
        <v>110</v>
      </c>
      <c r="C5" s="83" t="s">
        <v>173</v>
      </c>
      <c r="D5" s="79" t="s">
        <v>21</v>
      </c>
      <c r="E5" s="80" t="s">
        <v>15</v>
      </c>
      <c r="F5" s="91" t="s">
        <v>14</v>
      </c>
      <c r="G5" s="80" t="s">
        <v>32</v>
      </c>
      <c r="H5" s="35" t="s">
        <v>135</v>
      </c>
      <c r="I5" s="80" t="s">
        <v>91</v>
      </c>
    </row>
    <row r="6" spans="1:9" ht="14.4" x14ac:dyDescent="0.2">
      <c r="A6" s="77" t="s">
        <v>244</v>
      </c>
      <c r="B6" s="98" t="s">
        <v>108</v>
      </c>
      <c r="C6" s="83" t="s">
        <v>174</v>
      </c>
      <c r="E6" s="80" t="s">
        <v>22</v>
      </c>
      <c r="F6" s="92" t="s">
        <v>16</v>
      </c>
      <c r="G6" s="80" t="s">
        <v>33</v>
      </c>
      <c r="H6" s="35" t="s">
        <v>136</v>
      </c>
    </row>
    <row r="7" spans="1:9" ht="22.8" x14ac:dyDescent="0.2">
      <c r="A7" s="77" t="s">
        <v>245</v>
      </c>
      <c r="B7" s="77" t="s">
        <v>161</v>
      </c>
      <c r="C7" s="83" t="s">
        <v>223</v>
      </c>
      <c r="E7" s="80" t="s">
        <v>24</v>
      </c>
      <c r="F7" s="93" t="s">
        <v>12</v>
      </c>
      <c r="G7" s="80" t="s">
        <v>34</v>
      </c>
      <c r="H7" s="35" t="s">
        <v>137</v>
      </c>
    </row>
    <row r="8" spans="1:9" ht="28.8" x14ac:dyDescent="0.2">
      <c r="B8" s="78" t="s">
        <v>104</v>
      </c>
      <c r="C8" s="83" t="s">
        <v>224</v>
      </c>
      <c r="H8" s="35" t="s">
        <v>138</v>
      </c>
    </row>
    <row r="9" spans="1:9" ht="22.8" x14ac:dyDescent="0.2">
      <c r="B9" s="77" t="s">
        <v>162</v>
      </c>
      <c r="C9" s="83" t="s">
        <v>175</v>
      </c>
      <c r="H9" s="35" t="s">
        <v>139</v>
      </c>
    </row>
    <row r="10" spans="1:9" ht="14.4" x14ac:dyDescent="0.2">
      <c r="B10" s="98" t="s">
        <v>219</v>
      </c>
      <c r="C10" s="83" t="s">
        <v>176</v>
      </c>
      <c r="H10" s="35" t="s">
        <v>140</v>
      </c>
    </row>
    <row r="11" spans="1:9" ht="22.8" x14ac:dyDescent="0.2">
      <c r="B11" s="77" t="s">
        <v>163</v>
      </c>
      <c r="C11" s="83" t="s">
        <v>218</v>
      </c>
      <c r="H11" s="35" t="s">
        <v>141</v>
      </c>
    </row>
    <row r="12" spans="1:9" ht="14.4" x14ac:dyDescent="0.2">
      <c r="B12" s="77" t="s">
        <v>164</v>
      </c>
      <c r="C12" s="83" t="s">
        <v>225</v>
      </c>
      <c r="H12" s="35" t="s">
        <v>142</v>
      </c>
    </row>
    <row r="13" spans="1:9" ht="14.4" x14ac:dyDescent="0.2">
      <c r="B13" s="98" t="s">
        <v>113</v>
      </c>
      <c r="C13" s="83" t="s">
        <v>177</v>
      </c>
      <c r="H13" s="35" t="s">
        <v>143</v>
      </c>
    </row>
    <row r="14" spans="1:9" ht="22.8" x14ac:dyDescent="0.2">
      <c r="B14" s="78" t="s">
        <v>109</v>
      </c>
      <c r="C14" s="83" t="s">
        <v>178</v>
      </c>
      <c r="H14" s="35" t="s">
        <v>144</v>
      </c>
    </row>
    <row r="15" spans="1:9" ht="22.8" x14ac:dyDescent="0.2">
      <c r="B15" s="78" t="s">
        <v>107</v>
      </c>
      <c r="C15" s="83" t="s">
        <v>179</v>
      </c>
      <c r="H15" s="35" t="s">
        <v>145</v>
      </c>
    </row>
    <row r="16" spans="1:9" ht="14.4" x14ac:dyDescent="0.2">
      <c r="B16" s="78" t="s">
        <v>114</v>
      </c>
      <c r="C16" s="83" t="s">
        <v>180</v>
      </c>
      <c r="H16" s="35" t="s">
        <v>146</v>
      </c>
    </row>
    <row r="17" spans="2:8" ht="22.8" x14ac:dyDescent="0.2">
      <c r="B17" s="82" t="s">
        <v>115</v>
      </c>
      <c r="C17" s="83" t="s">
        <v>181</v>
      </c>
      <c r="H17" s="35" t="s">
        <v>147</v>
      </c>
    </row>
    <row r="18" spans="2:8" ht="22.8" x14ac:dyDescent="0.2">
      <c r="B18" s="98" t="s">
        <v>169</v>
      </c>
      <c r="C18" s="95" t="s">
        <v>182</v>
      </c>
      <c r="H18" s="35" t="s">
        <v>148</v>
      </c>
    </row>
    <row r="19" spans="2:8" ht="22.8" x14ac:dyDescent="0.2">
      <c r="B19" s="98" t="s">
        <v>155</v>
      </c>
      <c r="C19" s="83" t="s">
        <v>183</v>
      </c>
      <c r="H19" s="35" t="s">
        <v>149</v>
      </c>
    </row>
    <row r="20" spans="2:8" ht="14.4" x14ac:dyDescent="0.2">
      <c r="B20" s="97" t="s">
        <v>165</v>
      </c>
      <c r="C20" s="83" t="s">
        <v>184</v>
      </c>
      <c r="H20" s="35" t="s">
        <v>151</v>
      </c>
    </row>
    <row r="21" spans="2:8" ht="22.8" x14ac:dyDescent="0.2">
      <c r="B21" s="97" t="s">
        <v>166</v>
      </c>
      <c r="C21" s="83" t="s">
        <v>185</v>
      </c>
      <c r="H21" s="35" t="s">
        <v>152</v>
      </c>
    </row>
    <row r="22" spans="2:8" ht="22.8" x14ac:dyDescent="0.2">
      <c r="B22" s="78" t="s">
        <v>111</v>
      </c>
      <c r="C22" s="83" t="s">
        <v>186</v>
      </c>
      <c r="H22" s="35" t="s">
        <v>153</v>
      </c>
    </row>
    <row r="23" spans="2:8" ht="22.8" x14ac:dyDescent="0.2">
      <c r="B23" s="97" t="s">
        <v>167</v>
      </c>
      <c r="C23" s="83" t="s">
        <v>187</v>
      </c>
      <c r="H23" s="35" t="s">
        <v>154</v>
      </c>
    </row>
    <row r="24" spans="2:8" ht="14.4" x14ac:dyDescent="0.2">
      <c r="B24" s="77" t="s">
        <v>233</v>
      </c>
      <c r="C24" s="83" t="s">
        <v>188</v>
      </c>
      <c r="H24" s="35" t="s">
        <v>157</v>
      </c>
    </row>
    <row r="25" spans="2:8" ht="14.4" x14ac:dyDescent="0.2">
      <c r="B25" s="97" t="s">
        <v>234</v>
      </c>
      <c r="C25" s="83" t="s">
        <v>189</v>
      </c>
      <c r="H25" s="35" t="s">
        <v>159</v>
      </c>
    </row>
    <row r="26" spans="2:8" ht="22.8" x14ac:dyDescent="0.2">
      <c r="B26" s="98" t="s">
        <v>106</v>
      </c>
      <c r="C26" s="83" t="s">
        <v>190</v>
      </c>
      <c r="H26" s="77" t="s">
        <v>228</v>
      </c>
    </row>
    <row r="27" spans="2:8" ht="22.8" x14ac:dyDescent="0.2">
      <c r="B27" s="98" t="s">
        <v>217</v>
      </c>
      <c r="C27" s="83" t="s">
        <v>220</v>
      </c>
      <c r="H27" s="35" t="s">
        <v>240</v>
      </c>
    </row>
    <row r="28" spans="2:8" ht="22.8" x14ac:dyDescent="0.2">
      <c r="B28" s="77" t="s">
        <v>168</v>
      </c>
      <c r="C28" s="83" t="s">
        <v>191</v>
      </c>
    </row>
    <row r="29" spans="2:8" ht="22.8" x14ac:dyDescent="0.2">
      <c r="B29" s="97" t="s">
        <v>214</v>
      </c>
      <c r="C29" s="83" t="s">
        <v>192</v>
      </c>
    </row>
    <row r="30" spans="2:8" ht="22.8" x14ac:dyDescent="0.2">
      <c r="B30" s="98" t="s">
        <v>216</v>
      </c>
      <c r="C30" s="83" t="s">
        <v>210</v>
      </c>
    </row>
    <row r="31" spans="2:8" x14ac:dyDescent="0.2">
      <c r="B31" s="97" t="s">
        <v>235</v>
      </c>
      <c r="C31" s="83" t="s">
        <v>193</v>
      </c>
    </row>
    <row r="32" spans="2:8" ht="34.200000000000003" x14ac:dyDescent="0.2">
      <c r="C32" s="83" t="s">
        <v>194</v>
      </c>
    </row>
    <row r="33" spans="3:3" x14ac:dyDescent="0.2">
      <c r="C33" s="83" t="s">
        <v>195</v>
      </c>
    </row>
    <row r="34" spans="3:3" ht="34.200000000000003" x14ac:dyDescent="0.2">
      <c r="C34" s="83" t="s">
        <v>196</v>
      </c>
    </row>
    <row r="35" spans="3:3" ht="22.8" x14ac:dyDescent="0.2">
      <c r="C35" s="83" t="s">
        <v>197</v>
      </c>
    </row>
    <row r="36" spans="3:3" ht="22.8" x14ac:dyDescent="0.2">
      <c r="C36" s="83" t="s">
        <v>198</v>
      </c>
    </row>
    <row r="37" spans="3:3" ht="34.200000000000003" x14ac:dyDescent="0.2">
      <c r="C37" s="83" t="s">
        <v>221</v>
      </c>
    </row>
    <row r="38" spans="3:3" ht="22.8" x14ac:dyDescent="0.2">
      <c r="C38" s="83" t="s">
        <v>199</v>
      </c>
    </row>
    <row r="39" spans="3:3" ht="22.8" x14ac:dyDescent="0.2">
      <c r="C39" s="83" t="s">
        <v>200</v>
      </c>
    </row>
    <row r="40" spans="3:3" ht="22.8" x14ac:dyDescent="0.2">
      <c r="C40" s="83" t="s">
        <v>201</v>
      </c>
    </row>
    <row r="41" spans="3:3" ht="22.8" x14ac:dyDescent="0.2">
      <c r="C41" s="83" t="s">
        <v>202</v>
      </c>
    </row>
    <row r="42" spans="3:3" ht="22.8" x14ac:dyDescent="0.2">
      <c r="C42" s="83" t="s">
        <v>203</v>
      </c>
    </row>
    <row r="43" spans="3:3" ht="34.200000000000003" x14ac:dyDescent="0.2">
      <c r="C43" s="83" t="s">
        <v>204</v>
      </c>
    </row>
    <row r="44" spans="3:3" ht="34.200000000000003" x14ac:dyDescent="0.2">
      <c r="C44" s="83" t="s">
        <v>205</v>
      </c>
    </row>
    <row r="45" spans="3:3" ht="22.8" x14ac:dyDescent="0.2">
      <c r="C45" s="83" t="s">
        <v>206</v>
      </c>
    </row>
    <row r="46" spans="3:3" ht="22.8" x14ac:dyDescent="0.2">
      <c r="C46" s="83" t="s">
        <v>207</v>
      </c>
    </row>
    <row r="47" spans="3:3" ht="22.8" x14ac:dyDescent="0.2">
      <c r="C47" s="83" t="s">
        <v>208</v>
      </c>
    </row>
    <row r="48" spans="3:3" ht="34.200000000000003" x14ac:dyDescent="0.2">
      <c r="C48" s="83" t="s">
        <v>209</v>
      </c>
    </row>
    <row r="49" spans="3:3" ht="22.8" x14ac:dyDescent="0.2">
      <c r="C49" s="96" t="s">
        <v>236</v>
      </c>
    </row>
  </sheetData>
  <sortState xmlns:xlrd2="http://schemas.microsoft.com/office/spreadsheetml/2017/richdata2" ref="B3:B33">
    <sortCondition ref="B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Matriz Riesgo</vt:lpstr>
      <vt:lpstr>Calificación Controles</vt:lpstr>
      <vt:lpstr>Matriz Inherente - Residual</vt:lpstr>
      <vt:lpstr>Entradas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Alejandro Sanchez Fonseca</dc:creator>
  <cp:lastModifiedBy>Susan Katherin Sanchez Moyano</cp:lastModifiedBy>
  <cp:lastPrinted>2025-08-08T22:30:17Z</cp:lastPrinted>
  <dcterms:created xsi:type="dcterms:W3CDTF">2019-01-15T19:40:26Z</dcterms:created>
  <dcterms:modified xsi:type="dcterms:W3CDTF">2025-09-04T17:17:37Z</dcterms:modified>
</cp:coreProperties>
</file>